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aveExternalLinkValues="0"/>
  <mc:AlternateContent xmlns:mc="http://schemas.openxmlformats.org/markup-compatibility/2006">
    <mc:Choice Requires="x15">
      <x15ac:absPath xmlns:x15ac="http://schemas.microsoft.com/office/spreadsheetml/2010/11/ac" url="C:\Users\meganr\Desktop\"/>
    </mc:Choice>
  </mc:AlternateContent>
  <xr:revisionPtr revIDLastSave="0" documentId="13_ncr:1_{67B7E4CD-06F0-43F9-9957-9DFCB9372D5A}" xr6:coauthVersionLast="47" xr6:coauthVersionMax="47" xr10:uidLastSave="{00000000-0000-0000-0000-000000000000}"/>
  <bookViews>
    <workbookView xWindow="-57720" yWindow="-120" windowWidth="29040" windowHeight="15720" tabRatio="854" firstSheet="5" activeTab="6" xr2:uid="{00000000-000D-0000-FFFF-FFFF00000000}"/>
  </bookViews>
  <sheets>
    <sheet name="BP-data import" sheetId="20" state="hidden" r:id="rId1"/>
    <sheet name="BP- deal core data" sheetId="21" state="hidden" r:id="rId2"/>
    <sheet name="BP - development budget v2" sheetId="22" state="hidden" r:id="rId3"/>
    <sheet name="BP-Rental Income v2" sheetId="23" state="hidden" r:id="rId4"/>
    <sheet name="BP- Income Opex v2" sheetId="24" state="hidden" r:id="rId5"/>
    <sheet name="protocols" sheetId="10" r:id="rId6"/>
    <sheet name="assumptions" sheetId="1" r:id="rId7"/>
    <sheet name="project budget" sheetId="17" r:id="rId8"/>
    <sheet name="sources-uses" sheetId="2" r:id="rId9"/>
    <sheet name="credit calcs" sheetId="18" r:id="rId10"/>
    <sheet name="rent summary" sheetId="3" r:id="rId11"/>
    <sheet name="rents" sheetId="9" r:id="rId12"/>
    <sheet name="expenses" sheetId="4" r:id="rId13"/>
    <sheet name="cashflows" sheetId="5" r:id="rId14"/>
    <sheet name="amortizations" sheetId="6" r:id="rId15"/>
    <sheet name="flow of funds" sheetId="7" r:id="rId16"/>
    <sheet name="Housing w Services" sheetId="11" r:id="rId17"/>
    <sheet name="VHFA Use" sheetId="19" state="hidden" r:id="rId18"/>
  </sheets>
  <externalReferences>
    <externalReference r:id="rId19"/>
  </externalReferences>
  <definedNames>
    <definedName name="___JE1299" localSheetId="2" hidden="1">#REF!</definedName>
    <definedName name="___JE1299" localSheetId="1" hidden="1">#REF!</definedName>
    <definedName name="___JE1299" localSheetId="4" hidden="1">#REF!</definedName>
    <definedName name="___JE1299" localSheetId="0" hidden="1">#REF!</definedName>
    <definedName name="___JE1299" hidden="1">#REF!</definedName>
    <definedName name="__JE1299" localSheetId="2" hidden="1">#REF!</definedName>
    <definedName name="__JE1299" localSheetId="1" hidden="1">#REF!</definedName>
    <definedName name="__JE1299" localSheetId="4" hidden="1">#REF!</definedName>
    <definedName name="__JE1299" localSheetId="0" hidden="1">#REF!</definedName>
    <definedName name="__JE1299" hidden="1">#REF!</definedName>
    <definedName name="_Fill" localSheetId="2" hidden="1">#REF!</definedName>
    <definedName name="_Fill" localSheetId="1" hidden="1">#REF!</definedName>
    <definedName name="_Fill" localSheetId="4" hidden="1">#REF!</definedName>
    <definedName name="_Fill" localSheetId="0" hidden="1">#REF!</definedName>
    <definedName name="_Fill" hidden="1">#REF!</definedName>
    <definedName name="_Fill18A" localSheetId="2" hidden="1">#REF!</definedName>
    <definedName name="_Fill18A" localSheetId="1" hidden="1">#REF!</definedName>
    <definedName name="_Fill18A" localSheetId="4" hidden="1">#REF!</definedName>
    <definedName name="_Fill18A" localSheetId="0" hidden="1">#REF!</definedName>
    <definedName name="_Fill18A" hidden="1">#REF!</definedName>
    <definedName name="_Fill18b" localSheetId="2" hidden="1">#REF!</definedName>
    <definedName name="_Fill18b" localSheetId="1" hidden="1">#REF!</definedName>
    <definedName name="_Fill18b" localSheetId="4" hidden="1">#REF!</definedName>
    <definedName name="_Fill18b" localSheetId="0" hidden="1">#REF!</definedName>
    <definedName name="_Fill18b" hidden="1">#REF!</definedName>
    <definedName name="_Fill18c" localSheetId="2" hidden="1">#REF!</definedName>
    <definedName name="_Fill18c" localSheetId="1" hidden="1">#REF!</definedName>
    <definedName name="_Fill18c" localSheetId="4" hidden="1">#REF!</definedName>
    <definedName name="_Fill18c" localSheetId="0" hidden="1">#REF!</definedName>
    <definedName name="_Fill18c" hidden="1">#REF!</definedName>
    <definedName name="_Fill19" localSheetId="2" hidden="1">#REF!</definedName>
    <definedName name="_Fill19" localSheetId="1" hidden="1">#REF!</definedName>
    <definedName name="_Fill19" localSheetId="4" hidden="1">#REF!</definedName>
    <definedName name="_Fill19" localSheetId="0" hidden="1">#REF!</definedName>
    <definedName name="_Fill19" hidden="1">#REF!</definedName>
    <definedName name="_Fill19b" localSheetId="2" hidden="1">#REF!</definedName>
    <definedName name="_Fill19b" localSheetId="1" hidden="1">#REF!</definedName>
    <definedName name="_Fill19b" localSheetId="4" hidden="1">#REF!</definedName>
    <definedName name="_Fill19b" localSheetId="0" hidden="1">#REF!</definedName>
    <definedName name="_Fill19b" hidden="1">#REF!</definedName>
    <definedName name="_Fill2" localSheetId="2" hidden="1">#REF!</definedName>
    <definedName name="_Fill2" localSheetId="1" hidden="1">#REF!</definedName>
    <definedName name="_Fill2" localSheetId="4" hidden="1">#REF!</definedName>
    <definedName name="_Fill2" localSheetId="0" hidden="1">#REF!</definedName>
    <definedName name="_Fill2" hidden="1">#REF!</definedName>
    <definedName name="_Fill3" localSheetId="2" hidden="1">#REF!</definedName>
    <definedName name="_Fill3" localSheetId="1" hidden="1">#REF!</definedName>
    <definedName name="_Fill3" localSheetId="4" hidden="1">#REF!</definedName>
    <definedName name="_Fill3" localSheetId="0" hidden="1">#REF!</definedName>
    <definedName name="_Fill3" hidden="1">#REF!</definedName>
    <definedName name="_xlnm._FilterDatabase" localSheetId="0" hidden="1">'BP-data import'!$A$1:$T$440</definedName>
    <definedName name="_JE1299" localSheetId="2" hidden="1">#REF!</definedName>
    <definedName name="_JE1299" localSheetId="1" hidden="1">#REF!</definedName>
    <definedName name="_JE1299" localSheetId="4" hidden="1">#REF!</definedName>
    <definedName name="_JE1299" localSheetId="0" hidden="1">#REF!</definedName>
    <definedName name="_JE1299" hidden="1">#REF!</definedName>
    <definedName name="_Key1" localSheetId="2" hidden="1">#REF!</definedName>
    <definedName name="_Key1" localSheetId="1" hidden="1">#REF!</definedName>
    <definedName name="_Key1" localSheetId="4" hidden="1">#REF!</definedName>
    <definedName name="_Key1" localSheetId="0" hidden="1">#REF!</definedName>
    <definedName name="_Key1" hidden="1">#REF!</definedName>
    <definedName name="_Key2" localSheetId="2" hidden="1">#REF!</definedName>
    <definedName name="_Key2" localSheetId="1" hidden="1">#REF!</definedName>
    <definedName name="_Key2" localSheetId="4" hidden="1">#REF!</definedName>
    <definedName name="_Key2" localSheetId="0" hidden="1">#REF!</definedName>
    <definedName name="_Key2" hidden="1">#REF!</definedName>
    <definedName name="_Order1" hidden="1">255</definedName>
    <definedName name="_Order2" hidden="1">255</definedName>
    <definedName name="_Sort" localSheetId="2" hidden="1">#REF!</definedName>
    <definedName name="_Sort" localSheetId="1" hidden="1">#REF!</definedName>
    <definedName name="_Sort" localSheetId="4" hidden="1">#REF!</definedName>
    <definedName name="_Sort" localSheetId="0" hidden="1">#REF!</definedName>
    <definedName name="_Sort" hidden="1">#REF!</definedName>
    <definedName name="ACwvu.EXPENSES." localSheetId="7" hidden="1">'project budget'!#REF!</definedName>
    <definedName name="ACwvu.EXPENSES." localSheetId="8" hidden="1">'sources-uses'!#REF!</definedName>
    <definedName name="ADF"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DF"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DF"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DF"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DF"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LKDFJ"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LKDFJ"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LKDFJ"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LKDFJ"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LKDFJ"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tres"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tres"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tres"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tres"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atres"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e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e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e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e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e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ga"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ga"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ga"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ga"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ga"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gv"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gv"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gv"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gv"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mgv"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uguh"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uguh"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uguh"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uguh"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huguh"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ie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ie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ie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ie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ie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Bldg_list">[1]Bldg!$B$6:$B$45</definedName>
    <definedName name="bvjhm"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bvjhm"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bvjhm" localSheetId="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bvjhm"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bvjhm"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ccc"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ccc"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ccc"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ccc"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ccc"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D" localSheetId="2"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DD" localSheetId="1"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DD" localSheetId="4"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DD" localSheetId="0"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DD"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dd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d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d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d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d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fdse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fdse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fdse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fdse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fdse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rawSched2" localSheetId="2" hidden="1">#REF!</definedName>
    <definedName name="DrawSched2" localSheetId="1" hidden="1">#REF!</definedName>
    <definedName name="DrawSched2" localSheetId="4" hidden="1">#REF!</definedName>
    <definedName name="DrawSched2" localSheetId="0" hidden="1">#REF!</definedName>
    <definedName name="DrawSched2" hidden="1">#REF!</definedName>
    <definedName name="drsg"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rsg"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rsg"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rsg"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drsg"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e"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ee"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ee"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ee"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ee"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e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sjkdrk"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sjkdrk"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sjkdrk"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sjkdrk"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sjkdrk"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tan"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tan"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tan"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tan"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etan"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ff"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ff"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ff"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ff"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ff"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2"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2"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2"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2"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3"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3"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3"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3"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low3"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gn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gn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gn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gn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gn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se"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se"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se"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se"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frse"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bjkh"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bjkh"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bjkh"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bjkh"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bjkh"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e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e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e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e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e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fderes"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fderes"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fderes"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fderes"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fderes"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ggg"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ggg"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ggg"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ggg"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ggg"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fase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fase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fase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fase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fase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oss"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oss"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oss"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oss"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oss"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grsaea"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grsaea"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grsaea"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grsaea"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grsaea"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e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e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e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e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e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ggffg"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ggffg"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ggffg"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ggffg"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ggffg"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hhh" localSheetId="2" hidden="1">{#N/A,#N/A,TRUE,"toc";#N/A,#N/A,TRUE,"benefits";#N/A,#N/A,TRUE,"TAXCREDITS";#N/A,#N/A,TRUE,"sourcedetail";#N/A,#N/A,TRUE,"finsum";#N/A,#N/A,TRUE,"cash";#N/A,#N/A,TRUE,"tax";#N/A,#N/A,TRUE,"loan2";#N/A,#N/A,TRUE,"loan3";#N/A,#N/A,TRUE,"deprec";#N/A,#N/A,TRUE,"funded";#N/A,#N/A,TRUE,"SALE";#N/A,#N/A,TRUE,"benefits long";#N/A,#N/A,TRUE,"IRR"}</definedName>
    <definedName name="hhh" localSheetId="1" hidden="1">{#N/A,#N/A,TRUE,"toc";#N/A,#N/A,TRUE,"benefits";#N/A,#N/A,TRUE,"TAXCREDITS";#N/A,#N/A,TRUE,"sourcedetail";#N/A,#N/A,TRUE,"finsum";#N/A,#N/A,TRUE,"cash";#N/A,#N/A,TRUE,"tax";#N/A,#N/A,TRUE,"loan2";#N/A,#N/A,TRUE,"loan3";#N/A,#N/A,TRUE,"deprec";#N/A,#N/A,TRUE,"funded";#N/A,#N/A,TRUE,"SALE";#N/A,#N/A,TRUE,"benefits long";#N/A,#N/A,TRUE,"IRR"}</definedName>
    <definedName name="hhh" localSheetId="4" hidden="1">{#N/A,#N/A,TRUE,"toc";#N/A,#N/A,TRUE,"benefits";#N/A,#N/A,TRUE,"TAXCREDITS";#N/A,#N/A,TRUE,"sourcedetail";#N/A,#N/A,TRUE,"finsum";#N/A,#N/A,TRUE,"cash";#N/A,#N/A,TRUE,"tax";#N/A,#N/A,TRUE,"loan2";#N/A,#N/A,TRUE,"loan3";#N/A,#N/A,TRUE,"deprec";#N/A,#N/A,TRUE,"funded";#N/A,#N/A,TRUE,"SALE";#N/A,#N/A,TRUE,"benefits long";#N/A,#N/A,TRUE,"IRR"}</definedName>
    <definedName name="hhh" localSheetId="0" hidden="1">{#N/A,#N/A,TRUE,"toc";#N/A,#N/A,TRUE,"benefits";#N/A,#N/A,TRUE,"TAXCREDITS";#N/A,#N/A,TRUE,"sourcedetail";#N/A,#N/A,TRUE,"finsum";#N/A,#N/A,TRUE,"cash";#N/A,#N/A,TRUE,"tax";#N/A,#N/A,TRUE,"loan2";#N/A,#N/A,TRUE,"loan3";#N/A,#N/A,TRUE,"deprec";#N/A,#N/A,TRUE,"funded";#N/A,#N/A,TRUE,"SALE";#N/A,#N/A,TRUE,"benefits long";#N/A,#N/A,TRUE,"IRR"}</definedName>
    <definedName name="hhh" hidden="1">{#N/A,#N/A,TRUE,"toc";#N/A,#N/A,TRUE,"benefits";#N/A,#N/A,TRUE,"TAXCREDITS";#N/A,#N/A,TRUE,"sourcedetail";#N/A,#N/A,TRUE,"finsum";#N/A,#N/A,TRUE,"cash";#N/A,#N/A,TRUE,"tax";#N/A,#N/A,TRUE,"loan2";#N/A,#N/A,TRUE,"loan3";#N/A,#N/A,TRUE,"deprec";#N/A,#N/A,TRUE,"funded";#N/A,#N/A,TRUE,"SALE";#N/A,#N/A,TRUE,"benefits long";#N/A,#N/A,TRUE,"IRR"}</definedName>
    <definedName name="hhhhhh"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hhhhh"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hhhhh"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hhhhh"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hhhhh"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TML_Email" hidden="1">""</definedName>
    <definedName name="HTML_Header" hidden="1">"Table of Contents"</definedName>
    <definedName name="HTML_LastUpdate" hidden="1">"6/5/01"</definedName>
    <definedName name="HTML_LineAfter" hidden="1">FALSE</definedName>
    <definedName name="HTML_LineBefore" hidden="1">FALSE</definedName>
    <definedName name="HTML_Name" hidden="1">"Samuel Lyustikman"</definedName>
    <definedName name="HTML_OBDlg2" hidden="1">TRUE</definedName>
    <definedName name="HTML_OBDlg4" hidden="1">TRUE</definedName>
    <definedName name="HTML_OS" hidden="1">0</definedName>
    <definedName name="HTML_PathFile" hidden="1">"E:\temp\MyHTML.htm"</definedName>
    <definedName name="HTML_Title" hidden="1">"MTK_template_2_1"</definedName>
    <definedName name="hyh"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yh"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yh"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yh"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hyh"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VAIL_SALE_FFIEC" hidden="1">"c12802"</definedName>
    <definedName name="IQ_ABS_FFIEC" hidden="1">"c12788"</definedName>
    <definedName name="IQ_ABS_INVEST_SECURITIES_FFIEC" hidden="1">"c13461"</definedName>
    <definedName name="IQ_ABS_PERIOD" hidden="1">"c13823"</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_CIQ_COL" hidden="1">"c11739"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RED_BY_REPORTING_BANK_FDIC" hidden="1">"c6535"</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_COL" hidden="1">"c11631"</definedName>
    <definedName name="IQ_AVG_INDUSTRY_REC_NO_CIQ_COL" hidden="1">"c11630"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WEIGHT" hidden="1">"c87"</definedName>
    <definedName name="IQ_BASIC_WEIGHT_GUIDANCE" hidden="1">"c4141"</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_COL" hidden="1">"c11715"</definedName>
    <definedName name="IQ_BV_OVER_SHARES" hidden="1">"c1349"</definedName>
    <definedName name="IQ_BV_SHARE" hidden="1">"c100"</definedName>
    <definedName name="IQ_BV_SHARE_ACT_OR_EST_CIQ_COL" hidden="1">"c11719"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_CIQ_COL" hidden="1">"c11743"</definedName>
    <definedName name="IQ_CAL_Y" hidden="1">"c102"</definedName>
    <definedName name="IQ_CAL_Y_EST_CIQ_COL" hidden="1">"c11744"</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_CIQ_COL" hidden="1">"c11718"</definedName>
    <definedName name="IQ_CAPEX_BNK" hidden="1">"c110"</definedName>
    <definedName name="IQ_CAPEX_BR" hidden="1">"c111"</definedName>
    <definedName name="IQ_CAPEX_FIN" hidden="1">"c112"</definedName>
    <definedName name="IQ_CAPEX_GUIDANCE_CIQ" hidden="1">"c4562"</definedName>
    <definedName name="IQ_CAPEX_GUIDANCE_CIQ_COL" hidden="1">"c11211"</definedName>
    <definedName name="IQ_CAPEX_HIGH_GUIDANCE_CIQ" hidden="1">"c4592"</definedName>
    <definedName name="IQ_CAPEX_HIGH_GUIDANCE_CIQ_COL" hidden="1">"c11241"</definedName>
    <definedName name="IQ_CAPEX_INS" hidden="1">"c113"</definedName>
    <definedName name="IQ_CAPEX_LOW_GUIDANCE_CIQ" hidden="1">"c4632"</definedName>
    <definedName name="IQ_CAPEX_LOW_GUIDANCE_CIQ_COL" hidden="1">"c11281"</definedName>
    <definedName name="IQ_CAPEX_PCT_REV" hidden="1">"c19144"</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_COL" hidden="1">"c11215"</definedName>
    <definedName name="IQ_CASH_FLOW_GUIDANCE" hidden="1">"c4155"</definedName>
    <definedName name="IQ_CASH_FLOW_GUIDANCE_CIQ" hidden="1">"c4567"</definedName>
    <definedName name="IQ_CASH_FLOW_GUIDANCE_CIQ_COL" hidden="1">"c11216"</definedName>
    <definedName name="IQ_CASH_FLOW_HIGH_GUIDANCE" hidden="1">"c4201"</definedName>
    <definedName name="IQ_CASH_FLOW_HIGH_GUIDANCE_CIQ" hidden="1">"c4613"</definedName>
    <definedName name="IQ_CASH_FLOW_HIGH_GUIDANCE_CIQ_COL" hidden="1">"c11262"</definedName>
    <definedName name="IQ_CASH_FLOW_LOW_GUIDANCE" hidden="1">"c4241"</definedName>
    <definedName name="IQ_CASH_FLOW_LOW_GUIDANCE_CIQ" hidden="1">"c4653"</definedName>
    <definedName name="IQ_CASH_FLOW_LOW_GUIDANCE_CIQ_COL" hidden="1">"c11302"</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_COL" hidden="1">"c11225"</definedName>
    <definedName name="IQ_CASH_OPER_AP" hidden="1">"c8888"</definedName>
    <definedName name="IQ_CASH_OPER_AP_ABS" hidden="1">"c8907"</definedName>
    <definedName name="IQ_CASH_OPER_GUIDANCE_CIQ" hidden="1">"c4577"</definedName>
    <definedName name="IQ_CASH_OPER_GUIDANCE_CIQ_COL" hidden="1">"c11226"</definedName>
    <definedName name="IQ_CASH_OPER_HIGH_GUIDANCE_CIQ" hidden="1">"c4597"</definedName>
    <definedName name="IQ_CASH_OPER_HIGH_GUIDANCE_CIQ_COL" hidden="1">"c11246"</definedName>
    <definedName name="IQ_CASH_OPER_LOW_GUIDANCE_CIQ" hidden="1">"c4637"</definedName>
    <definedName name="IQ_CASH_OPER_LOW_GUIDANCE_CIQ_COL" hidden="1">"c11286"</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GUIDANCE" hidden="1">"c4250"</definedName>
    <definedName name="IQ_CASH_ST_INVEST_GUIDANCE_CIQ" hidden="1">"c4776"</definedName>
    <definedName name="IQ_CASH_ST_INVEST_GUIDANCE_CIQ_COL" hidden="1">"c11423"</definedName>
    <definedName name="IQ_CASH_ST_INVEST_HIGH_GUIDANCE" hidden="1">"c4195"</definedName>
    <definedName name="IQ_CASH_ST_INVEST_HIGH_GUIDANCE_CIQ" hidden="1">"c4607"</definedName>
    <definedName name="IQ_CASH_ST_INVEST_HIGH_GUIDANCE_CIQ_COL" hidden="1">"c11256"</definedName>
    <definedName name="IQ_CASH_ST_INVEST_LOW_GUIDANCE" hidden="1">"c4235"</definedName>
    <definedName name="IQ_CASH_ST_INVEST_LOW_GUIDANCE_CIQ" hidden="1">"c4647"</definedName>
    <definedName name="IQ_CASH_ST_INVEST_LOW_GUIDANCE_CIQ_COL" hidden="1">"c11296"</definedName>
    <definedName name="IQ_CASH_STRUCTURED_PRODUCTS_AVAIL_SALE_FFIEC" hidden="1">"c15263"</definedName>
    <definedName name="IQ_CASH_STRUCTURED_PRODUCTS_FFIEC" hidden="1">"c15260"</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_CIQ_COL" hidden="1">"c11708"</definedName>
    <definedName name="IQ_CFPS_GUIDANCE_CIQ" hidden="1">"c4782"</definedName>
    <definedName name="IQ_CFPS_GUIDANCE_CIQ_COL" hidden="1">"c11429"</definedName>
    <definedName name="IQ_CFPS_HIGH_GUIDANCE_CIQ" hidden="1">"c4579"</definedName>
    <definedName name="IQ_CFPS_HIGH_GUIDANCE_CIQ_COL" hidden="1">"c11228"</definedName>
    <definedName name="IQ_CFPS_LOW_GUIDANCE_CIQ" hidden="1">"c4619"</definedName>
    <definedName name="IQ_CFPS_LOW_GUIDANCE_CIQ_COL" hidden="1">"c11268"</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LOSEPRICE_RT" hidden="1">"CLOSE"</definedName>
    <definedName name="IQ_CMBS_ISSUED_AVAIL_SALE_FFIEC" hidden="1">"c12800"</definedName>
    <definedName name="IQ_CMBS_ISSUED_FFIEC" hidden="1">"c12786"</definedName>
    <definedName name="IQ_CMO_FDIC" hidden="1">"c6406"</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ECTION_DOMESTIC_FDIC" hidden="1">"c6387"</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ID_QUICK_MATCH" hidden="1">"c16227"</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TOTAL_LOANS" hidden="1">"c15711"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LOANS_TOTAL_LOANS" hidden="1">"c15712"</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LIABILITIES" hidden="1">"c18873"</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S_OTHER_COMMODITIES_EQUITIES_FDIC" hidden="1">"c6522"</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 hidden="1">"c15726"</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LUT_WEIGHT_GUIDANCE" hidden="1">"c4270"</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_COL" hidden="1">"c11450"</definedName>
    <definedName name="IQ_DISTRIBUTABLE_CASH_GUIDANCE_CIQ" hidden="1">"c4804"</definedName>
    <definedName name="IQ_DISTRIBUTABLE_CASH_GUIDANCE_CIQ_COL" hidden="1">"c11451"</definedName>
    <definedName name="IQ_DISTRIBUTABLE_CASH_HIGH_GUIDANCE_CIQ" hidden="1">"c4610"</definedName>
    <definedName name="IQ_DISTRIBUTABLE_CASH_HIGH_GUIDANCE_CIQ_COL" hidden="1">"c11259"</definedName>
    <definedName name="IQ_DISTRIBUTABLE_CASH_LOW_GUIDANCE_CIQ" hidden="1">"c4650"</definedName>
    <definedName name="IQ_DISTRIBUTABLE_CASH_LOW_GUIDANCE_CIQ_COL" hidden="1">"c11299"</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_CIQ_COL" hidden="1">"c11458"</definedName>
    <definedName name="IQ_DISTRIBUTABLE_CASH_SHARE_GUIDANCE_CIQ" hidden="1">"c4812"</definedName>
    <definedName name="IQ_DISTRIBUTABLE_CASH_SHARE_GUIDANCE_CIQ_COL" hidden="1">"c11459"</definedName>
    <definedName name="IQ_DISTRIBUTABLE_CASH_SHARE_HIGH_GUIDANCE_CIQ" hidden="1">"c4611"</definedName>
    <definedName name="IQ_DISTRIBUTABLE_CASH_SHARE_HIGH_GUIDANCE_CIQ_COL" hidden="1">"c11260"</definedName>
    <definedName name="IQ_DISTRIBUTABLE_CASH_SHARE_LOW_GUIDANCE_CIQ" hidden="1">"c4651"</definedName>
    <definedName name="IQ_DISTRIBUTABLE_CASH_SHARE_LOW_GUIDANCE_CIQ_COL" hidden="1">"c11300"</definedName>
    <definedName name="IQ_DISTRIBUTABLE_CASH_SHARES_BASIC" hidden="1">"c16189"</definedName>
    <definedName name="IQ_DISTRIBUTABLE_CASH_SHARES_DILUTED" hidden="1">"c16190"</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_CIQ_COL" hidden="1">"c11709"</definedName>
    <definedName name="IQ_DPS_GUIDANCE_CIQ" hidden="1">"c4827"</definedName>
    <definedName name="IQ_DPS_GUIDANCE_CIQ_COL" hidden="1">"c11474"</definedName>
    <definedName name="IQ_DPS_HIGH_GUIDANCE_CIQ" hidden="1">"c4580"</definedName>
    <definedName name="IQ_DPS_HIGH_GUIDANCE_CIQ_COL" hidden="1">"c11229"</definedName>
    <definedName name="IQ_DPS_LOW_GUIDANCE_CIQ" hidden="1">"c4620"</definedName>
    <definedName name="IQ_DPS_LOW_GUIDANCE_CIQ_COL" hidden="1">"c11269"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CO_FFIEC" hidden="1">"c13032"</definedName>
    <definedName name="IQ_EARNINGS_CONT_OPS_HOMEBUILDING_SALES" hidden="1">"c15817"</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_CIQ_COL" hidden="1">"c11710"</definedName>
    <definedName name="IQ_EBIT_EQ_INC" hidden="1">"c3498"</definedName>
    <definedName name="IQ_EBIT_EQ_INC_EXCL_SBC" hidden="1">"c3502"</definedName>
    <definedName name="IQ_EBIT_EXCL_SBC" hidden="1">"c3082"</definedName>
    <definedName name="IQ_EBIT_GUIDANCE_CIQ" hidden="1">"c4828"</definedName>
    <definedName name="IQ_EBIT_GUIDANCE_CIQ_COL" hidden="1">"c11475"</definedName>
    <definedName name="IQ_EBIT_GW_ACT_OR_EST_CIQ_COL" hidden="1">"c11478"</definedName>
    <definedName name="IQ_EBIT_GW_GUIDANCE" hidden="1">"c4307"</definedName>
    <definedName name="IQ_EBIT_GW_GUIDANCE_CIQ" hidden="1">"c4832"</definedName>
    <definedName name="IQ_EBIT_GW_GUIDANCE_CIQ_COL" hidden="1">"c11479"</definedName>
    <definedName name="IQ_EBIT_GW_HIGH_GUIDANCE" hidden="1">"c4171"</definedName>
    <definedName name="IQ_EBIT_GW_HIGH_GUIDANCE_CIQ" hidden="1">"c4583"</definedName>
    <definedName name="IQ_EBIT_GW_HIGH_GUIDANCE_CIQ_COL" hidden="1">"c11232"</definedName>
    <definedName name="IQ_EBIT_GW_LOW_GUIDANCE" hidden="1">"c4211"</definedName>
    <definedName name="IQ_EBIT_GW_LOW_GUIDANCE_CIQ" hidden="1">"c4623"</definedName>
    <definedName name="IQ_EBIT_GW_LOW_GUIDANCE_CIQ_COL" hidden="1">"c11272"</definedName>
    <definedName name="IQ_EBIT_HIGH_GUIDANCE_CIQ" hidden="1">"c4584"</definedName>
    <definedName name="IQ_EBIT_HIGH_GUIDANCE_CIQ_COL" hidden="1">"c11233"</definedName>
    <definedName name="IQ_EBIT_HOMEBUILDING_SALES" hidden="1">"c15815"</definedName>
    <definedName name="IQ_EBIT_INT" hidden="1">"c360"</definedName>
    <definedName name="IQ_EBIT_LOW_GUIDANCE_CIQ" hidden="1">"c4624"</definedName>
    <definedName name="IQ_EBIT_LOW_GUIDANCE_CIQ_COL" hidden="1">"c11273"</definedName>
    <definedName name="IQ_EBIT_MARGIN" hidden="1">"c359"</definedName>
    <definedName name="IQ_EBIT_OVER_IE" hidden="1">"c1369"</definedName>
    <definedName name="IQ_EBIT_SBC_ACT_OR_EST_CIQ_COL" hidden="1">"c11488"</definedName>
    <definedName name="IQ_EBIT_SBC_GUIDANCE" hidden="1">"c4317"</definedName>
    <definedName name="IQ_EBIT_SBC_GUIDANCE_CIQ" hidden="1">"c4842"</definedName>
    <definedName name="IQ_EBIT_SBC_GUIDANCE_CIQ_COL" hidden="1">"c11489"</definedName>
    <definedName name="IQ_EBIT_SBC_GW_ACT_OR_EST_CIQ_COL" hidden="1">"c11492"</definedName>
    <definedName name="IQ_EBIT_SBC_GW_GUIDANCE" hidden="1">"c4321"</definedName>
    <definedName name="IQ_EBIT_SBC_GW_GUIDANCE_CIQ" hidden="1">"c4846"</definedName>
    <definedName name="IQ_EBIT_SBC_GW_GUIDANCE_CIQ_COL" hidden="1">"c11493"</definedName>
    <definedName name="IQ_EBIT_SBC_GW_HIGH_GUIDANCE" hidden="1">"c4193"</definedName>
    <definedName name="IQ_EBIT_SBC_GW_HIGH_GUIDANCE_CIQ" hidden="1">"c4605"</definedName>
    <definedName name="IQ_EBIT_SBC_GW_HIGH_GUIDANCE_CIQ_COL" hidden="1">"c11254"</definedName>
    <definedName name="IQ_EBIT_SBC_GW_LOW_GUIDANCE" hidden="1">"c4233"</definedName>
    <definedName name="IQ_EBIT_SBC_GW_LOW_GUIDANCE_CIQ" hidden="1">"c4645"</definedName>
    <definedName name="IQ_EBIT_SBC_GW_LOW_GUIDANCE_CIQ_COL" hidden="1">"c11294"</definedName>
    <definedName name="IQ_EBIT_SBC_HIGH_GUIDANCE" hidden="1">"c4192"</definedName>
    <definedName name="IQ_EBIT_SBC_HIGH_GUIDANCE_CIQ" hidden="1">"c4604"</definedName>
    <definedName name="IQ_EBIT_SBC_HIGH_GUIDANCE_CIQ_COL" hidden="1">"c11253"</definedName>
    <definedName name="IQ_EBIT_SBC_LOW_GUIDANCE" hidden="1">"c4232"</definedName>
    <definedName name="IQ_EBIT_SBC_LOW_GUIDANCE_CIQ" hidden="1">"c4644"</definedName>
    <definedName name="IQ_EBIT_SBC_LOW_GUIDANCE_CIQ_COL" hidden="1">"c11293"</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_CIQ_COL" hidden="1">"c11707"</definedName>
    <definedName name="IQ_EBITDA_CAPEX" hidden="1">"c19143"</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XCL_SBC" hidden="1">"c3081"</definedName>
    <definedName name="IQ_EBITDA_GUIDANCE_CIQ" hidden="1">"c4859"</definedName>
    <definedName name="IQ_EBITDA_GUIDANCE_CIQ_COL" hidden="1">"c11506"</definedName>
    <definedName name="IQ_EBITDA_HIGH_GUIDANCE_CIQ" hidden="1">"c4582"</definedName>
    <definedName name="IQ_EBITDA_HIGH_GUIDANCE_CIQ_COL" hidden="1">"c11231"</definedName>
    <definedName name="IQ_EBITDA_HOMEBUILDING_SALES" hidden="1">"c15814"</definedName>
    <definedName name="IQ_EBITDA_INT" hidden="1">"c373"</definedName>
    <definedName name="IQ_EBITDA_LOW_GUIDANCE_CIQ" hidden="1">"c4622"</definedName>
    <definedName name="IQ_EBITDA_LOW_GUIDANCE_CIQ_COL" hidden="1">"c11271"</definedName>
    <definedName name="IQ_EBITDA_MARGIN" hidden="1">"c372"</definedName>
    <definedName name="IQ_EBITDA_OVER_TOTAL_IE" hidden="1">"c1371"</definedName>
    <definedName name="IQ_EBITDA_SBC_ACT_OR_EST_CIQ_COL" hidden="1">"c11509"</definedName>
    <definedName name="IQ_EBITDA_SBC_GUIDANCE" hidden="1">"c4338"</definedName>
    <definedName name="IQ_EBITDA_SBC_GUIDANCE_CIQ" hidden="1">"c4863"</definedName>
    <definedName name="IQ_EBITDA_SBC_GUIDANCE_CIQ_COL" hidden="1">"c11510"</definedName>
    <definedName name="IQ_EBITDA_SBC_HIGH_GUIDANCE" hidden="1">"c4194"</definedName>
    <definedName name="IQ_EBITDA_SBC_HIGH_GUIDANCE_CIQ" hidden="1">"c4606"</definedName>
    <definedName name="IQ_EBITDA_SBC_HIGH_GUIDANCE_CIQ_COL" hidden="1">"c11255"</definedName>
    <definedName name="IQ_EBITDA_SBC_LOW_GUIDANCE" hidden="1">"c4234"</definedName>
    <definedName name="IQ_EBITDA_SBC_LOW_GUIDANCE_CIQ" hidden="1">"c4646"</definedName>
    <definedName name="IQ_EBITDA_SBC_LOW_GUIDANCE_CIQ_COL" hidden="1">"c11295"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_CIQ" hidden="1">"c4870"</definedName>
    <definedName name="IQ_EBT_GAAP_GUIDANCE_CIQ_COL" hidden="1">"c11517"</definedName>
    <definedName name="IQ_EBT_GAAP_HIGH_GUIDANCE_CIQ" hidden="1">"c4586"</definedName>
    <definedName name="IQ_EBT_GAAP_HIGH_GUIDANCE_CIQ_COL" hidden="1">"c11235"</definedName>
    <definedName name="IQ_EBT_GAAP_LOW_GUIDANCE_CIQ" hidden="1">"c4626"</definedName>
    <definedName name="IQ_EBT_GAAP_LOW_GUIDANCE_CIQ_COL" hidden="1">"c11275"</definedName>
    <definedName name="IQ_EBT_GUIDANCE_CIQ" hidden="1">"c4871"</definedName>
    <definedName name="IQ_EBT_GUIDANCE_CIQ_COL" hidden="1">"c11518"</definedName>
    <definedName name="IQ_EBT_GW_GUIDANCE_CIQ" hidden="1">"c4872"</definedName>
    <definedName name="IQ_EBT_GW_GUIDANCE_CIQ_COL" hidden="1">"c11519"</definedName>
    <definedName name="IQ_EBT_GW_HIGH_GUIDANCE_CIQ" hidden="1">"c4587"</definedName>
    <definedName name="IQ_EBT_GW_HIGH_GUIDANCE_CIQ_COL" hidden="1">"c11236"</definedName>
    <definedName name="IQ_EBT_GW_LOW_GUIDANCE_CIQ" hidden="1">"c4627"</definedName>
    <definedName name="IQ_EBT_GW_LOW_GUIDANCE_CIQ_COL" hidden="1">"c11276"</definedName>
    <definedName name="IQ_EBT_HIGH_GUIDANCE_CIQ" hidden="1">"c4585"</definedName>
    <definedName name="IQ_EBT_HIGH_GUIDANCE_CIQ_COL" hidden="1">"c11234"</definedName>
    <definedName name="IQ_EBT_HOMEBUILDING_SALES" hidden="1">"c15816"</definedName>
    <definedName name="IQ_EBT_INCL_MARGIN" hidden="1">"c387"</definedName>
    <definedName name="IQ_EBT_INS" hidden="1">"c388"</definedName>
    <definedName name="IQ_EBT_LOW_GUIDANCE_CIQ" hidden="1">"c4625"</definedName>
    <definedName name="IQ_EBT_LOW_GUIDANCE_CIQ_COL" hidden="1">"c11274"</definedName>
    <definedName name="IQ_EBT_RE" hidden="1">"c6215"</definedName>
    <definedName name="IQ_EBT_REIT" hidden="1">"c389"</definedName>
    <definedName name="IQ_EBT_SBC_ACT_OR_EST_CIQ_COL" hidden="1">"c11522"</definedName>
    <definedName name="IQ_EBT_SBC_GUIDANCE" hidden="1">"c4351"</definedName>
    <definedName name="IQ_EBT_SBC_GUIDANCE_CIQ" hidden="1">"c4876"</definedName>
    <definedName name="IQ_EBT_SBC_GUIDANCE_CIQ_COL" hidden="1">"c11523"</definedName>
    <definedName name="IQ_EBT_SBC_GW_ACT_OR_EST_CIQ_COL" hidden="1">"c11526"</definedName>
    <definedName name="IQ_EBT_SBC_GW_GUIDANCE" hidden="1">"c4355"</definedName>
    <definedName name="IQ_EBT_SBC_GW_GUIDANCE_CIQ" hidden="1">"c4880"</definedName>
    <definedName name="IQ_EBT_SBC_GW_GUIDANCE_CIQ_COL" hidden="1">"c11527"</definedName>
    <definedName name="IQ_EBT_SBC_GW_HIGH_GUIDANCE" hidden="1">"c4191"</definedName>
    <definedName name="IQ_EBT_SBC_GW_HIGH_GUIDANCE_CIQ" hidden="1">"c4603"</definedName>
    <definedName name="IQ_EBT_SBC_GW_HIGH_GUIDANCE_CIQ_COL" hidden="1">"c11252"</definedName>
    <definedName name="IQ_EBT_SBC_GW_LOW_GUIDANCE" hidden="1">"c4231"</definedName>
    <definedName name="IQ_EBT_SBC_GW_LOW_GUIDANCE_CIQ" hidden="1">"c4643"</definedName>
    <definedName name="IQ_EBT_SBC_GW_LOW_GUIDANCE_CIQ_COL" hidden="1">"c11292"</definedName>
    <definedName name="IQ_EBT_SBC_HIGH_GUIDANCE" hidden="1">"c4190"</definedName>
    <definedName name="IQ_EBT_SBC_HIGH_GUIDANCE_CIQ" hidden="1">"c4602"</definedName>
    <definedName name="IQ_EBT_SBC_HIGH_GUIDANCE_CIQ_COL" hidden="1">"c11251"</definedName>
    <definedName name="IQ_EBT_SBC_LOW_GUIDANCE" hidden="1">"c4230"</definedName>
    <definedName name="IQ_EBT_SBC_LOW_GUIDANCE_CIQ" hidden="1">"c4642"</definedName>
    <definedName name="IQ_EBT_SBC_LOW_GUIDANCE_CIQ_COL" hidden="1">"c11291"</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_CIQ_COL" hidden="1">"c11705"</definedName>
    <definedName name="IQ_EPS_AP" hidden="1">"c8880"</definedName>
    <definedName name="IQ_EPS_AP_ABS" hidden="1">"c8899"</definedName>
    <definedName name="IQ_EPS_EXCL_GUIDANCE_CIQ" hidden="1">"c4893"</definedName>
    <definedName name="IQ_EPS_EXCL_GUIDANCE_CIQ_COL" hidden="1">"c11540"</definedName>
    <definedName name="IQ_EPS_EXCL_HIGH_GUIDANCE_CIQ" hidden="1">"c4894"</definedName>
    <definedName name="IQ_EPS_EXCL_HIGH_GUIDANCE_CIQ_COL" hidden="1">"c11541"</definedName>
    <definedName name="IQ_EPS_EXCL_LOW_GUIDANCE_CIQ" hidden="1">"c4616"</definedName>
    <definedName name="IQ_EPS_EXCL_LOW_GUIDANCE_CIQ_COL" hidden="1">"c11265"</definedName>
    <definedName name="IQ_EPS_GAAP_GUIDANCE_CIQ" hidden="1">"c4895"</definedName>
    <definedName name="IQ_EPS_GAAP_GUIDANCE_CIQ_COL" hidden="1">"c11542"</definedName>
    <definedName name="IQ_EPS_GAAP_HIGH_GUIDANCE_CIQ" hidden="1">"c4896"</definedName>
    <definedName name="IQ_EPS_GAAP_HIGH_GUIDANCE_CIQ_COL" hidden="1">"c11543"</definedName>
    <definedName name="IQ_EPS_GAAP_LOW_GUIDANCE_CIQ" hidden="1">"c4617"</definedName>
    <definedName name="IQ_EPS_GAAP_LOW_GUIDANCE_CIQ_COL" hidden="1">"c11266"</definedName>
    <definedName name="IQ_EPS_GROWTH_GUIDANCE_CIQ" hidden="1">"c32283"</definedName>
    <definedName name="IQ_EPS_GROWTH_GUIDANCE_CIQ_COL" hidden="1">"c32286"</definedName>
    <definedName name="IQ_EPS_GROWTH_HIGH_GUIDANCE_CIQ" hidden="1">"c32284"</definedName>
    <definedName name="IQ_EPS_GROWTH_HIGH_GUIDANCE_CIQ_COL" hidden="1">"c32287"</definedName>
    <definedName name="IQ_EPS_GROWTH_LOW_GUIDANCE_CIQ" hidden="1">"c32285"</definedName>
    <definedName name="IQ_EPS_GROWTH_LOW_GUIDANCE_CIQ_COL" hidden="1">"c32288"</definedName>
    <definedName name="IQ_EPS_GW_GUIDANCE_CIQ" hidden="1">"c4897"</definedName>
    <definedName name="IQ_EPS_GW_GUIDANCE_CIQ_COL" hidden="1">"c11544"</definedName>
    <definedName name="IQ_EPS_GW_HIGH_GUIDANCE_CIQ" hidden="1">"c4898"</definedName>
    <definedName name="IQ_EPS_GW_HIGH_GUIDANCE_CIQ_COL" hidden="1">"c11545"</definedName>
    <definedName name="IQ_EPS_GW_LOW_GUIDANCE_CIQ" hidden="1">"c4618"</definedName>
    <definedName name="IQ_EPS_GW_LOW_GUIDANCE_CIQ_COL" hidden="1">"c11267"</definedName>
    <definedName name="IQ_EPS_NAME_AP" hidden="1">"c8918"</definedName>
    <definedName name="IQ_EPS_NAME_AP_ABS" hidden="1">"c8937"</definedName>
    <definedName name="IQ_EPS_NORM" hidden="1">"c1902"</definedName>
    <definedName name="IQ_EPS_SBC_ACT_OR_EST_CIQ_COL" hidden="1">"c11548"</definedName>
    <definedName name="IQ_EPS_SBC_GUIDANCE" hidden="1">"c4377"</definedName>
    <definedName name="IQ_EPS_SBC_GUIDANCE_CIQ" hidden="1">"c4902"</definedName>
    <definedName name="IQ_EPS_SBC_GUIDANCE_CIQ_COL" hidden="1">"c11549"</definedName>
    <definedName name="IQ_EPS_SBC_GW_ACT_OR_EST_CIQ_COL" hidden="1">"c11552"</definedName>
    <definedName name="IQ_EPS_SBC_GW_GUIDANCE" hidden="1">"c4381"</definedName>
    <definedName name="IQ_EPS_SBC_GW_GUIDANCE_CIQ" hidden="1">"c4906"</definedName>
    <definedName name="IQ_EPS_SBC_GW_GUIDANCE_CIQ_COL" hidden="1">"c11553"</definedName>
    <definedName name="IQ_EPS_SBC_GW_HIGH_GUIDANCE" hidden="1">"c4189"</definedName>
    <definedName name="IQ_EPS_SBC_GW_HIGH_GUIDANCE_CIQ" hidden="1">"c4601"</definedName>
    <definedName name="IQ_EPS_SBC_GW_HIGH_GUIDANCE_CIQ_COL" hidden="1">"c11250"</definedName>
    <definedName name="IQ_EPS_SBC_GW_LOW_GUIDANCE" hidden="1">"c4229"</definedName>
    <definedName name="IQ_EPS_SBC_GW_LOW_GUIDANCE_CIQ" hidden="1">"c4641"</definedName>
    <definedName name="IQ_EPS_SBC_GW_LOW_GUIDANCE_CIQ_COL" hidden="1">"c11290"</definedName>
    <definedName name="IQ_EPS_SBC_HIGH_GUIDANCE" hidden="1">"c4188"</definedName>
    <definedName name="IQ_EPS_SBC_HIGH_GUIDANCE_CIQ" hidden="1">"c4600"</definedName>
    <definedName name="IQ_EPS_SBC_HIGH_GUIDANCE_CIQ_COL" hidden="1">"c11249"</definedName>
    <definedName name="IQ_EPS_SBC_LOW_GUIDANCE" hidden="1">"c4228"</definedName>
    <definedName name="IQ_EPS_SBC_LOW_GUIDANCE_CIQ" hidden="1">"c4640"</definedName>
    <definedName name="IQ_EPS_SBC_LOW_GUIDANCE_CIQ_COL" hidden="1">"c11289"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DISTRIBUTABLE_CASH_CIQ_COL" hidden="1">"c11568"</definedName>
    <definedName name="IQ_EST_ACT_FFO_CIQ_COL" hidden="1">"c11579"</definedName>
    <definedName name="IQ_EST_CASH_FLOW_DIFF_CIQ_COL" hidden="1">"c11213"</definedName>
    <definedName name="IQ_EST_CASH_FLOW_SURPRISE_PERCENT_CIQ_COL" hidden="1">"c11222"</definedName>
    <definedName name="IQ_EST_CASH_OPER_DIFF_CIQ_COL" hidden="1">"c11223"</definedName>
    <definedName name="IQ_EST_CASH_OPER_SURPRISE_PERCENT_CIQ_COL" hidden="1">"c11421"</definedName>
    <definedName name="IQ_EST_DISTRIBUTABLE_CASH_DIFF_CIQ_COL" hidden="1">"c11448"</definedName>
    <definedName name="IQ_EST_DISTRIBUTABLE_CASH_GROWTH_1YR_CIQ_COL" hidden="1">"c11585"</definedName>
    <definedName name="IQ_EST_DISTRIBUTABLE_CASH_GROWTH_2YR_CIQ_COL" hidden="1">"c11586"</definedName>
    <definedName name="IQ_EST_DISTRIBUTABLE_CASH_GROWTH_Q_1YR_CIQ_COL" hidden="1">"c11587"</definedName>
    <definedName name="IQ_EST_DISTRIBUTABLE_CASH_SEQ_GROWTH_Q_CIQ_COL" hidden="1">"c11588"</definedName>
    <definedName name="IQ_EST_DISTRIBUTABLE_CASH_SHARE_DIFF_CIQ_COL" hidden="1">"c11456"</definedName>
    <definedName name="IQ_EST_DISTRIBUTABLE_CASH_SHARE_GROWTH_1YR_CIQ_COL" hidden="1">"c11589"</definedName>
    <definedName name="IQ_EST_DISTRIBUTABLE_CASH_SHARE_GROWTH_2YR_CIQ_COL" hidden="1">"c11590"</definedName>
    <definedName name="IQ_EST_DISTRIBUTABLE_CASH_SHARE_GROWTH_Q_1YR_CIQ_COL" hidden="1">"c11591"</definedName>
    <definedName name="IQ_EST_DISTRIBUTABLE_CASH_SHARE_SEQ_GROWTH_Q_CIQ_COL" hidden="1">"c11592"</definedName>
    <definedName name="IQ_EST_DISTRIBUTABLE_CASH_SHARE_SURPRISE_PERCENT_CIQ_COL" hidden="1">"c11465"</definedName>
    <definedName name="IQ_EST_DISTRIBUTABLE_CASH_SURPRISE_PERCENT_CIQ_COL" hidden="1">"c11467"</definedName>
    <definedName name="IQ_EST_EBIT_GW_DIFF_CIQ_COL" hidden="1">"c11476"</definedName>
    <definedName name="IQ_EST_EBIT_GW_SURPRISE_PERCENT_CIQ_COL" hidden="1">"c11485"</definedName>
    <definedName name="IQ_EST_EBIT_SBC_DIFF_CIQ_COL" hidden="1">"c11486"</definedName>
    <definedName name="IQ_EST_EBIT_SBC_GW_DIFF_CIQ_COL" hidden="1">"c11490"</definedName>
    <definedName name="IQ_EST_EBIT_SBC_GW_SURPRISE_PERCENT_CIQ_COL" hidden="1">"c11499"</definedName>
    <definedName name="IQ_EST_EBIT_SBC_SURPRISE_PERCENT_CIQ_COL" hidden="1">"c11505"</definedName>
    <definedName name="IQ_EST_EBITDA_SBC_DIFF_CIQ_COL" hidden="1">"c11507"</definedName>
    <definedName name="IQ_EST_EBITDA_SBC_SURPRISE_PERCENT_CIQ_COL" hidden="1">"c11516"</definedName>
    <definedName name="IQ_EST_EBT_SBC_DIFF_CIQ_COL" hidden="1">"c11520"</definedName>
    <definedName name="IQ_EST_EBT_SBC_GW_DIFF_CIQ_COL" hidden="1">"c11524"</definedName>
    <definedName name="IQ_EST_EBT_SBC_GW_SURPRISE_PERCENT_CIQ_COL" hidden="1">"c11533"</definedName>
    <definedName name="IQ_EST_EBT_SBC_SURPRISE_PERCENT_CIQ_COL" hidden="1">"c11539"</definedName>
    <definedName name="IQ_EST_EPS_SBC_DIFF_CIQ_COL" hidden="1">"c11546"</definedName>
    <definedName name="IQ_EST_EPS_SBC_GW_DIFF_CIQ_COL" hidden="1">"c11550"</definedName>
    <definedName name="IQ_EST_EPS_SBC_GW_SURPRISE_PERCENT_CIQ_COL" hidden="1">"c11559"</definedName>
    <definedName name="IQ_EST_EPS_SBC_SURPRISE_PERCENT_CIQ_COL" hidden="1">"c11565"</definedName>
    <definedName name="IQ_EST_FAIR_VALUE_MORT_SERVICING_ASSETS_FFIEC" hidden="1">"c12956"</definedName>
    <definedName name="IQ_EST_FFO_ADJ_DIFF_CIQ_COL" hidden="1">"c11605"</definedName>
    <definedName name="IQ_EST_FFO_ADJ_GROWTH_1YR_CIQ_COL" hidden="1">"c11593"</definedName>
    <definedName name="IQ_EST_FFO_ADJ_GROWTH_2YR_CIQ_COL" hidden="1">"c11594"</definedName>
    <definedName name="IQ_EST_FFO_ADJ_GROWTH_Q_1YR_CIQ_COL" hidden="1">"c11595"</definedName>
    <definedName name="IQ_EST_FFO_ADJ_SEQ_GROWTH_Q_CIQ_COL" hidden="1">"c11596"</definedName>
    <definedName name="IQ_EST_FFO_ADJ_SURPRISE_PERCENT_CIQ_COL" hidden="1">"c11614"</definedName>
    <definedName name="IQ_EST_FFO_DIFF_CIQ_COL" hidden="1">"c11616"</definedName>
    <definedName name="IQ_EST_FFO_GROWTH_1YR_CIQ_COL" hidden="1">"c11597"</definedName>
    <definedName name="IQ_EST_FFO_GROWTH_2YR_CIQ_COL" hidden="1">"c11598"</definedName>
    <definedName name="IQ_EST_FFO_GROWTH_Q_1YR_CIQ_COL" hidden="1">"c11599"</definedName>
    <definedName name="IQ_EST_FFO_SEQ_GROWTH_Q_CIQ_COL" hidden="1">"c11600"</definedName>
    <definedName name="IQ_EST_FFO_SURPRISE_PERCENT_CIQ_COL" hidden="1">"c11629"</definedName>
    <definedName name="IQ_EST_MAINT_CAPEX_DIFF_CIQ_COL" hidden="1">"c11632"</definedName>
    <definedName name="IQ_EST_MAINT_CAPEX_GROWTH_1YR_CIQ_COL" hidden="1">"c11601"</definedName>
    <definedName name="IQ_EST_MAINT_CAPEX_GROWTH_2YR_CIQ_COL" hidden="1">"c11602"</definedName>
    <definedName name="IQ_EST_MAINT_CAPEX_GROWTH_Q_1YR_CIQ_COL" hidden="1">"c11603"</definedName>
    <definedName name="IQ_EST_MAINT_CAPEX_SEQ_GROWTH_Q_CIQ_COL" hidden="1">"c11604"</definedName>
    <definedName name="IQ_EST_MAINT_CAPEX_SURPRISE_PERCENT_CIQ_COL" hidden="1">"c11650"</definedName>
    <definedName name="IQ_EST_NEXT_EARNINGS_DATE" hidden="1">"c13591"</definedName>
    <definedName name="IQ_EST_NI_SBC_DIFF_CIQ_COL" hidden="1">"c11657"</definedName>
    <definedName name="IQ_EST_NI_SBC_GW_DIFF_CIQ_COL" hidden="1">"c11661"</definedName>
    <definedName name="IQ_EST_NI_SBC_GW_SURPRISE_PERCENT_CIQ_COL" hidden="1">"c11670"</definedName>
    <definedName name="IQ_EST_NI_SBC_SURPRISE_PERCENT_CIQ_COL" hidden="1">"c11676"</definedName>
    <definedName name="IQ_EST_PERIOD_ID" hidden="1">"c13923"</definedName>
    <definedName name="IQ_EST_RECURRING_PROFIT_SHARE_DIFF_CIQ_COL" hidden="1">"c11690"</definedName>
    <definedName name="IQ_EST_RECURRING_PROFIT_SHARE_SURPRISE_PERCENT_CIQ_COL" hidden="1">"c11700"</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AVAIL" hidden="1">"c2523"</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PURCHASED_RELATED" hidden="1">"c19132"</definedName>
    <definedName name="IQ_FEDFUNDS_SOLD" hidden="1">"c2256"</definedName>
    <definedName name="IQ_FEDFUNDS_SOLD_RELATED" hidden="1">"c19130"</definedName>
    <definedName name="IQ_FEES_COMMISSIONS_BROKERAGE_FFIEC" hidden="1">"c13005"</definedName>
    <definedName name="IQ_FEES_OTHER_INCOME" hidden="1">"c15257"</definedName>
    <definedName name="IQ_FFO" hidden="1">"c1574"</definedName>
    <definedName name="IQ_FFO_ADJ_ACT_OR_EST_CIQ_COL" hidden="1">"c11607"</definedName>
    <definedName name="IQ_FFO_ADJ_GUIDANCE_CIQ" hidden="1">"c4961"</definedName>
    <definedName name="IQ_FFO_ADJ_GUIDANCE_CIQ_COL" hidden="1">"c11608"</definedName>
    <definedName name="IQ_FFO_ADJ_HIGH_GUIDANCE_CIQ" hidden="1">"c4614"</definedName>
    <definedName name="IQ_FFO_ADJ_HIGH_GUIDANCE_CIQ_COL" hidden="1">"c11263"</definedName>
    <definedName name="IQ_FFO_ADJ_LOW_GUIDANCE_CIQ" hidden="1">"c4654"</definedName>
    <definedName name="IQ_FFO_ADJ_LOW_GUIDANCE_CIQ_COL" hidden="1">"c11303"</definedName>
    <definedName name="IQ_FFO_DILUTED" hidden="1">"c16186"</definedName>
    <definedName name="IQ_FFO_EST_CIQ_COL" hidden="1">"c11617"</definedName>
    <definedName name="IQ_FFO_GUIDANCE_CIQ" hidden="1">"c4968"</definedName>
    <definedName name="IQ_FFO_GUIDANCE_CIQ_COL" hidden="1">"c11615"</definedName>
    <definedName name="IQ_FFO_HIGH_EST_CIQ_COL" hidden="1">"c11624"</definedName>
    <definedName name="IQ_FFO_HIGH_GUIDANCE_CIQ" hidden="1">"c4596"</definedName>
    <definedName name="IQ_FFO_HIGH_GUIDANCE_CIQ_COL" hidden="1">"c11245"</definedName>
    <definedName name="IQ_FFO_LOW_EST_CIQ_COL" hidden="1">"c11625"</definedName>
    <definedName name="IQ_FFO_LOW_GUIDANCE_CIQ" hidden="1">"c4636"</definedName>
    <definedName name="IQ_FFO_LOW_GUIDANCE_CIQ_COL" hidden="1">"c11285"</definedName>
    <definedName name="IQ_FFO_MEDIAN_EST_CIQ_COL" hidden="1">"c11626"</definedName>
    <definedName name="IQ_FFO_NUM_EST_CIQ_COL" hidden="1">"c11627"</definedName>
    <definedName name="IQ_FFO_PAYOUT_RATIO" hidden="1">"c3492"</definedName>
    <definedName name="IQ_FFO_PER_SHARE_BASIC" hidden="1">"c8867"</definedName>
    <definedName name="IQ_FFO_PER_SHARE_DILUTED" hidden="1">"c8868"</definedName>
    <definedName name="IQ_FFO_SHARE_ACT_OR_EST_CIQ_COL" hidden="1">"c11618"</definedName>
    <definedName name="IQ_FFO_SHARE_GUIDANCE_CIQ" hidden="1">"c4976"</definedName>
    <definedName name="IQ_FFO_SHARE_GUIDANCE_CIQ_COL" hidden="1">"c11623"</definedName>
    <definedName name="IQ_FFO_SHARE_HIGH_GUIDANCE_CIQ" hidden="1">"c4615"</definedName>
    <definedName name="IQ_FFO_SHARE_HIGH_GUIDANCE_CIQ_COL" hidden="1">"c11264"</definedName>
    <definedName name="IQ_FFO_SHARE_LOW_GUIDANCE_CIQ" hidden="1">"c4655"</definedName>
    <definedName name="IQ_FFO_SHARE_LOW_GUIDANCE_CIQ_COL" hidden="1">"c11304"</definedName>
    <definedName name="IQ_FFO_SHARES_BASIC" hidden="1">"c16185"</definedName>
    <definedName name="IQ_FFO_SHARES_DILUTED" hidden="1">"c16187"</definedName>
    <definedName name="IQ_FFO_STDDEV_EST_CIQ_COL" hidden="1">"c11628"</definedName>
    <definedName name="IQ_FFO_TOTAL_REVENUE" hidden="1">"c16060"</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_INSTANCE_ID" hidden="1">"c13921"</definedName>
    <definedName name="IQ_FIN_PERIOD_ID" hidden="1">"c13920"</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_CIQ_COL" hidden="1">"c11741"</definedName>
    <definedName name="IQ_FISCAL_Y" hidden="1">"c441"</definedName>
    <definedName name="IQ_FISCAL_Y_EST_CIQ_COL" hidden="1">"c11742"</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OTAL_DEPOSITS" hidden="1">"c15719"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"c13769"</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DISCOUNT_OR_PREMIUM" hidden="1">"c19242"</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PRIMARY_ADVISOR" hidden="1">"c19091"</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VKEY" hidden="1">"c15590"</definedName>
    <definedName name="IQ_GVKEY_OTHER" hidden="1">"c15633"</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VAIL_SALE_FFIEC" hidden="1">"c15265"</definedName>
    <definedName name="IQ_HYBRID_STRUCTURED_PRODUCTS_FFIEC" hidden="1">"c15262"</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LOANS_FDIC" hidden="1">"c6365"</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EXPENSE_AVG_ASSET" hidden="1">"c15705"</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AVG_ASSET" hidden="1">"c15704"</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BANK_RATIO" hidden="1">"c19134"</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SULFUR_CONTENT_RESERVES_COAL" hidden="1">"c15924"</definedName>
    <definedName name="IQ_LOW_SULFURE_RESERVES_TO_TOTAL_RESERVES_COAL" hidden="1">"c15961"</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_COL" hidden="1">"c11634"</definedName>
    <definedName name="IQ_MAINT_CAPEX_GUIDANCE_CIQ" hidden="1">"c4988"</definedName>
    <definedName name="IQ_MAINT_CAPEX_GUIDANCE_CIQ_COL" hidden="1">"c11635"</definedName>
    <definedName name="IQ_MAINT_CAPEX_HIGH_GUIDANCE_CIQ" hidden="1">"c4609"</definedName>
    <definedName name="IQ_MAINT_CAPEX_HIGH_GUIDANCE_CIQ_COL" hidden="1">"c11258"</definedName>
    <definedName name="IQ_MAINT_CAPEX_LOW_GUIDANCE_CIQ" hidden="1">"c4649"</definedName>
    <definedName name="IQ_MAINT_CAPEX_LOW_GUIDANCE_CIQ_COL" hidden="1">"c11298"</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PROMOTION_EXPENSE" hidden="1">"c16035"</definedName>
    <definedName name="IQ_MATERIALS_SUPPLES_INVENTORY_COAL" hidden="1">"c15942"</definedName>
    <definedName name="IQ_MATURITY_DATE" hidden="1">"c2146"</definedName>
    <definedName name="IQ_MATURITY_ONE_YEAR_LESS_FDIC" hidden="1">"c6425"</definedName>
    <definedName name="IQ_MBS_INVEST_SECURITIES_FFIEC" hidden="1">"c13460"</definedName>
    <definedName name="IQ_MBS_OTHER_ISSUED_FNMA_OTHERS_AVAIL_SALE_FFIEC" hidden="1">"c12799"</definedName>
    <definedName name="IQ_MBS_OTHER_ISSUED_FNMA_OTHERS_FFIEC" hidden="1">"c12785"</definedName>
    <definedName name="IQ_MBS_PASS_THROUGH_FNMA_AVAIL_SALE_FFIEC" hidden="1">"c12797"</definedName>
    <definedName name="IQ_MBS_PASS_THROUGH_FNMA_FFIEC" hidden="1">"c12783"</definedName>
    <definedName name="IQ_MBS_PASS_THROUGH_GNMA_AVAIL_SALE_FFIEC" hidden="1">"c12796"</definedName>
    <definedName name="IQ_MBS_PASS_THROUGH_GNMA_FFIEC" hidden="1">"c12782"</definedName>
    <definedName name="IQ_MBS_PASS_THROUGH_ISSUED_FNMA_GNMA_TRADING_DOM_FFIEC" hidden="1">"c12921"</definedName>
    <definedName name="IQ_MBS_PASS_THROUGH_OTHER_AVAIL_SALE_FFIEC" hidden="1">"c12798"</definedName>
    <definedName name="IQ_MBS_PASS_THROUGH_OTHER_FFIEC" hidden="1">"c12784"</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UM_SULFUR_CONTENT_RESERVES_COAL" hidden="1">"c15926"</definedName>
    <definedName name="IQ_MEDIUM_SULFURE_RESERVES_TO_TOTAL_RESERVES_COAL" hidden="1">"c15962"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EY_MKT_DEPOSITS_TOTAL_DEPOSITS" hidden="1">"c15720"</definedName>
    <definedName name="IQ_MONEY_MKT_SAVINGS_ACCT_DEPOSITS_TOTAL_DEPOSITS" hidden="1">"c15722"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M_ADJ" hidden="1">"c16000"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TUAL_FUND_LIST" hidden="1">"c19092"</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V_RE" hidden="1">"c15996"</definedName>
    <definedName name="IQ_NAV_SHARE_RE" hidden="1">"c16011"</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_CIQ_COL" hidden="1">"c11717"</definedName>
    <definedName name="IQ_NET_DEBT_EBITDA" hidden="1">"c750"</definedName>
    <definedName name="IQ_NET_DEBT_EBITDA_CAPEX" hidden="1">"c2949"</definedName>
    <definedName name="IQ_NET_DEBT_GUIDANCE_CIQ" hidden="1">"c5005"</definedName>
    <definedName name="IQ_NET_DEBT_GUIDANCE_CIQ_COL" hidden="1">"c11652"</definedName>
    <definedName name="IQ_NET_DEBT_HIGH_GUIDANCE_CIQ" hidden="1">"c4593"</definedName>
    <definedName name="IQ_NET_DEBT_HIGH_GUIDANCE_CIQ_COL" hidden="1">"c11242"</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GUIDANCE_CIQ" hidden="1">"c4633"</definedName>
    <definedName name="IQ_NET_DEBT_LOW_GUIDANCE_CIQ_COL" hidden="1">"c11282"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COME_HOMEBUILDING_SALES" hidden="1">"c15818"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AVG_ASSET" hidden="1">"c15706"</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LOSSES" hidden="1">"c15873"</definedName>
    <definedName name="IQ_NET_NONINTEREST_INC_EXP_INTERNATIONAL_OPS_FFIEC" hidden="1">"c15387"</definedName>
    <definedName name="IQ_NET_OPERATING_INCOME_ASSETS_FDIC" hidden="1">"c6729"</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_CIQ_COL" hidden="1">"c11712"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FFIEC" hidden="1">"c13034"</definedName>
    <definedName name="IQ_NI_GAAP_GUIDANCE_CIQ" hidden="1">"c5008"</definedName>
    <definedName name="IQ_NI_GAAP_GUIDANCE_CIQ_COL" hidden="1">"c11655"</definedName>
    <definedName name="IQ_NI_GAAP_HIGH_GUIDANCE_CIQ" hidden="1">"c4589"</definedName>
    <definedName name="IQ_NI_GAAP_HIGH_GUIDANCE_CIQ_COL" hidden="1">"c11238"</definedName>
    <definedName name="IQ_NI_GAAP_LOW_GUIDANCE_CIQ" hidden="1">"c4629"</definedName>
    <definedName name="IQ_NI_GAAP_LOW_GUIDANCE_CIQ_COL" hidden="1">"c11278"</definedName>
    <definedName name="IQ_NI_GUIDANCE_CIQ" hidden="1">"c5007"</definedName>
    <definedName name="IQ_NI_GUIDANCE_CIQ_COL" hidden="1">"c11654"</definedName>
    <definedName name="IQ_NI_GW_GUIDANCE_CIQ" hidden="1">"c5009"</definedName>
    <definedName name="IQ_NI_GW_GUIDANCE_CIQ_COL" hidden="1">"c11656"</definedName>
    <definedName name="IQ_NI_GW_HIGH_GUIDANCE_CIQ" hidden="1">"c4590"</definedName>
    <definedName name="IQ_NI_GW_HIGH_GUIDANCE_CIQ_COL" hidden="1">"c11239"</definedName>
    <definedName name="IQ_NI_GW_LOW_GUIDANCE_CIQ" hidden="1">"c4630"</definedName>
    <definedName name="IQ_NI_GW_LOW_GUIDANCE_CIQ_COL" hidden="1">"c11279"</definedName>
    <definedName name="IQ_NI_HIGH_GUIDANCE_CIQ" hidden="1">"c4588"</definedName>
    <definedName name="IQ_NI_HIGH_GUIDANCE_CIQ_COL" hidden="1">"c11237"</definedName>
    <definedName name="IQ_NI_LOW_GUIDANCE_CIQ" hidden="1">"c4628"</definedName>
    <definedName name="IQ_NI_LOW_GUIDANCE_CIQ_COL" hidden="1">"c11277"</definedName>
    <definedName name="IQ_NI_MARGIN" hidden="1">"c794"</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_COL" hidden="1">"c11659"</definedName>
    <definedName name="IQ_NI_SBC_GUIDANCE" hidden="1">"c4475"</definedName>
    <definedName name="IQ_NI_SBC_GUIDANCE_CIQ" hidden="1">"c5013"</definedName>
    <definedName name="IQ_NI_SBC_GUIDANCE_CIQ_COL" hidden="1">"c11660"</definedName>
    <definedName name="IQ_NI_SBC_GW_ACT_OR_EST_CIQ_COL" hidden="1">"c11663"</definedName>
    <definedName name="IQ_NI_SBC_GW_GUIDANCE" hidden="1">"c4479"</definedName>
    <definedName name="IQ_NI_SBC_GW_GUIDANCE_CIQ" hidden="1">"c5017"</definedName>
    <definedName name="IQ_NI_SBC_GW_GUIDANCE_CIQ_COL" hidden="1">"c11664"</definedName>
    <definedName name="IQ_NI_SBC_GW_HIGH_GUIDANCE" hidden="1">"c4187"</definedName>
    <definedName name="IQ_NI_SBC_GW_HIGH_GUIDANCE_CIQ" hidden="1">"c4599"</definedName>
    <definedName name="IQ_NI_SBC_GW_HIGH_GUIDANCE_CIQ_COL" hidden="1">"c11248"</definedName>
    <definedName name="IQ_NI_SBC_GW_LOW_GUIDANCE" hidden="1">"c4227"</definedName>
    <definedName name="IQ_NI_SBC_GW_LOW_GUIDANCE_CIQ" hidden="1">"c4639"</definedName>
    <definedName name="IQ_NI_SBC_GW_LOW_GUIDANCE_CIQ_COL" hidden="1">"c11288"</definedName>
    <definedName name="IQ_NI_SBC_HIGH_GUIDANCE" hidden="1">"c4186"</definedName>
    <definedName name="IQ_NI_SBC_HIGH_GUIDANCE_CIQ" hidden="1">"c4598"</definedName>
    <definedName name="IQ_NI_SBC_HIGH_GUIDANCE_CIQ_COL" hidden="1">"c11247"</definedName>
    <definedName name="IQ_NI_SBC_LOW_GUIDANCE" hidden="1">"c4226"</definedName>
    <definedName name="IQ_NI_SBC_LOW_GUIDANCE_CIQ" hidden="1">"c4638"</definedName>
    <definedName name="IQ_NI_SBC_LOW_GUIDANCE_CIQ_COL" hidden="1">"c11287"</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VG_ASSETS_FFIEC" hidden="1">"c18878"</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AVG_ASSET" hidden="1">"c15707"</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NUMBER_WIRELESS_TOWERS" hidden="1">"c15766"</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THER_ADDITIONS_T1_FFIEC" hidden="1">"c13142"</definedName>
    <definedName name="IQ_OTHER_ADDITIONS_T2_FFIEC" hidden="1">"c13148"</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FFO" hidden="1">"c16180"</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VAIL_SALE_FFIEC" hidden="1">"c12803"</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FOREIGN_FFIEC" hidden="1">"c12790"</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DOMESTIC_DEBT_SECURITIES_FDIC" hidden="1">"c6302"</definedName>
    <definedName name="IQ_OTHER_EARNING" hidden="1">"c1609"</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VAIL_SALE_FFIEC" hidden="1">"c12801"</definedName>
    <definedName name="IQ_OTHER_MBS_FFIEC" hidden="1">"c12787"</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PROP_OPERATING_EXPENSE" hidden="1">"c16043"</definedName>
    <definedName name="IQ_OTHER_PROP_OPERATING_REVENUE" hidden="1">"c16027"</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_CIQ_COL" hidden="1">"c11711"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INC_AFTER_CAP_ALLOCATION_FOREIGN_FFIEC" hidden="1">"c15390"</definedName>
    <definedName name="IQ_PRETAX_INC_BEFORE_CAP_ALLOCATION_FOREIGN_FFIEC" hidden="1">"c15388"</definedName>
    <definedName name="IQ_PRETAX_OPERATING_INC_AVG_ASSETS_FFIEC" hidden="1">"c13365"</definedName>
    <definedName name="IQ_PRETAX_RETURN_ASSETS_FDIC" hidden="1">"c6731"</definedName>
    <definedName name="IQ_PREV_MONTHLY_FACTOR" hidden="1">"c8973"</definedName>
    <definedName name="IQ_PREV_MONTHLY_FACTOR_DATE" hidden="1">"c8974"</definedName>
    <definedName name="IQ_PREVIOUS_TIME_RT" hidden="1">"PREVIOUSLASTTIME"</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_CIQ_COL" hidden="1">"c11677"</definedName>
    <definedName name="IQ_PRICE_VOLATILITY_HIGH_CIQ_COL" hidden="1">"c11678"</definedName>
    <definedName name="IQ_PRICE_VOLATILITY_LOW_CIQ_COL" hidden="1">"c11679"</definedName>
    <definedName name="IQ_PRICE_VOLATILITY_MEDIAN_CIQ_COL" hidden="1">"c11680"</definedName>
    <definedName name="IQ_PRICE_VOLATILITY_NUM_CIQ_COL" hidden="1">"c11681"</definedName>
    <definedName name="IQ_PRICE_VOLATILITY_STDDEV_CIQ_COL" hidden="1">"c11682"</definedName>
    <definedName name="IQ_PRICEDATE" hidden="1">"c1069"</definedName>
    <definedName name="IQ_PRICING_DATE" hidden="1">"c1613"</definedName>
    <definedName name="IQ_PRIMARY_INDUSTRY" hidden="1">"c1070"</definedName>
    <definedName name="IQ_PRIMARY_SIC_CODE" hidden="1">"c16218"</definedName>
    <definedName name="IQ_PRIMARY_SIC_INDUSTRY" hidden="1">"c16217"</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FFIEC" hidden="1">"c13019"</definedName>
    <definedName name="IQ_PROVISION_LOAN_LOSS_AVG_ASSETS_FFIEC" hidden="1">"c18879"</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OAL" hidden="1">"c15934"</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DEPR_AMORT" hidden="1">"c8750"</definedName>
    <definedName name="IQ_RE_DEPRECIATION" hidden="1">"c16045"</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ENTAL_EXPENSE" hidden="1">"c16036"</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ENT_FUNDS" hidden="1">"c18908"</definedName>
    <definedName name="IQ_RECENT_FUNDS_ID" hidden="1">"c18909"</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_COL" hidden="1">"c11692"</definedName>
    <definedName name="IQ_RECURRING_PROFIT_GUIDANCE" hidden="1">"c4500"</definedName>
    <definedName name="IQ_RECURRING_PROFIT_GUIDANCE_CIQ" hidden="1">"c5038"</definedName>
    <definedName name="IQ_RECURRING_PROFIT_GUIDANCE_CIQ_COL" hidden="1">"c11685"</definedName>
    <definedName name="IQ_RECURRING_PROFIT_HIGH_GUIDANCE" hidden="1">"c4179"</definedName>
    <definedName name="IQ_RECURRING_PROFIT_HIGH_GUIDANCE_CIQ" hidden="1">"c4591"</definedName>
    <definedName name="IQ_RECURRING_PROFIT_HIGH_GUIDANCE_CIQ_COL" hidden="1">"c11240"</definedName>
    <definedName name="IQ_RECURRING_PROFIT_LOW_GUIDANCE" hidden="1">"c4219"</definedName>
    <definedName name="IQ_RECURRING_PROFIT_LOW_GUIDANCE_CIQ" hidden="1">"c4631"</definedName>
    <definedName name="IQ_RECURRING_PROFIT_LOW_GUIDANCE_CIQ_COL" hidden="1">"c11280"</definedName>
    <definedName name="IQ_RECURRING_PROFIT_SHARE_ACT_OR_EST_CIQ_COL" hidden="1">"c11693"</definedName>
    <definedName name="IQ_RECURRING_PROFIT_SHARE_GUIDANCE" hidden="1">"c4509"</definedName>
    <definedName name="IQ_RECURRING_PROFIT_SHARE_GUIDANCE_CIQ" hidden="1">"c5047"</definedName>
    <definedName name="IQ_RECURRING_PROFIT_SHARE_GUIDANCE_CIQ_COL" hidden="1">"c11694"</definedName>
    <definedName name="IQ_RECURRING_PROFIT_SHARE_HIGH_GUIDANCE" hidden="1">"c4200"</definedName>
    <definedName name="IQ_RECURRING_PROFIT_SHARE_HIGH_GUIDANCE_CIQ" hidden="1">"c4612"</definedName>
    <definedName name="IQ_RECURRING_PROFIT_SHARE_HIGH_GUIDANCE_CIQ_COL" hidden="1">"c11261"</definedName>
    <definedName name="IQ_RECURRING_PROFIT_SHARE_LOW_GUIDANCE" hidden="1">"c4240"</definedName>
    <definedName name="IQ_RECURRING_PROFIT_SHARE_LOW_GUIDANCE_CIQ" hidden="1">"c4652"</definedName>
    <definedName name="IQ_RECURRING_PROFIT_SHARE_LOW_GUIDANCE_CIQ_COL" hidden="1">"c11301"</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CATALOG" hidden="1">"c16128"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ASSETS_GUIDANCE_CIQ" hidden="1">"c5055"</definedName>
    <definedName name="IQ_RETURN_ASSETS_GUIDANCE_CIQ_COL" hidden="1">"c11702"</definedName>
    <definedName name="IQ_RETURN_ASSETS_HIGH_GUIDANCE_CIQ" hidden="1">"c4595"</definedName>
    <definedName name="IQ_RETURN_ASSETS_HIGH_GUIDANCE_CIQ_COL" hidden="1">"c11244"</definedName>
    <definedName name="IQ_RETURN_ASSETS_LOW_GUIDANCE_CIQ" hidden="1">"c4635"</definedName>
    <definedName name="IQ_RETURN_ASSETS_LOW_GUIDANCE_CIQ_COL" hidden="1">"c11284"</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EQUITY_GUIDANCE_CIQ" hidden="1">"c5056"</definedName>
    <definedName name="IQ_RETURN_EQUITY_GUIDANCE_CIQ_COL" hidden="1">"c11703"</definedName>
    <definedName name="IQ_RETURN_EQUITY_HIGH_GUIDANCE_CIQ" hidden="1">"c4594"</definedName>
    <definedName name="IQ_RETURN_EQUITY_HIGH_GUIDANCE_CIQ_COL" hidden="1">"c11243"</definedName>
    <definedName name="IQ_RETURN_EQUITY_LOW_GUIDANCE_CIQ" hidden="1">"c4634"</definedName>
    <definedName name="IQ_RETURN_EQUITY_LOW_GUIDANCE_CIQ_COL" hidden="1">"c11283"</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ALUATION_NON_TRADING_PROP" hidden="1">"c15999"</definedName>
    <definedName name="IQ_REVENUE" hidden="1">"c1422"</definedName>
    <definedName name="IQ_REVENUE_ACT_OR_EST_CIQ_COL" hidden="1">"c11706"</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COMMERCIAL" hidden="1">"c2881"</definedName>
    <definedName name="IQ_REVENUE_DIGITAL_CABLE" hidden="1">"c2876"</definedName>
    <definedName name="IQ_REVENUE_GUIDANCE_CIQ" hidden="1">"c5057"</definedName>
    <definedName name="IQ_REVENUE_GUIDANCE_CIQ_COL" hidden="1">"c11704"</definedName>
    <definedName name="IQ_REVENUE_HIGH_GUIDANCE_CIQ" hidden="1">"c4581"</definedName>
    <definedName name="IQ_REVENUE_HIGH_GUIDANCE_CIQ_COL" hidden="1">"c11230"</definedName>
    <definedName name="IQ_REVENUE_LOW_GUIDANCE_CIQ" hidden="1">"c4621"</definedName>
    <definedName name="IQ_REVENUE_LOW_GUIDANCE_CIQ_COL" hidden="1">"c11270"</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40342.5863425926</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FDIC" hidden="1">"c6370"</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OTHER_BENEFITS" hidden="1">"c16176"</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MARKETING" hidden="1">"c2240"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HELD_MATURITY_FFIEC" hidden="1">"c12777"</definedName>
    <definedName name="IQ_SECURITIES_ISSUED_STATES_FDIC" hidden="1">"c6300"</definedName>
    <definedName name="IQ_SECURITIES_ISSUED_US_FFIEC" hidden="1">"c12781"</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XPLORE_DRILL" hidden="1">"c13851"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SURPLUS_FFIEC" hidden="1">"c12877"</definedName>
    <definedName name="IQ_SVA" hidden="1">"c1214"</definedName>
    <definedName name="IQ_SYMBOL_RT" hidden="1">"SYMBOL"</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GUIDANCE" hidden="1">"c4533"</definedName>
    <definedName name="IQ_TOTAL_DEBT_GUIDANCE_CIQ" hidden="1">"c5086"</definedName>
    <definedName name="IQ_TOTAL_DEBT_GUIDANCE_CIQ_COL" hidden="1">"c11733"</definedName>
    <definedName name="IQ_TOTAL_DEBT_HIGH_GUIDANCE" hidden="1">"c4196"</definedName>
    <definedName name="IQ_TOTAL_DEBT_HIGH_GUIDANCE_CIQ" hidden="1">"c4608"</definedName>
    <definedName name="IQ_TOTAL_DEBT_HIGH_GUIDANCE_CIQ_COL" hidden="1">"c11257"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GUIDANCE" hidden="1">"c4236"</definedName>
    <definedName name="IQ_TOTAL_DEBT_LOW_GUIDANCE_CIQ" hidden="1">"c4648"</definedName>
    <definedName name="IQ_TOTAL_DEBT_LOW_GUIDANCE_CIQ_COL" hidden="1">"c11297"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NTAL_REVENUE" hidden="1">"c16022"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PIRED_DATE" hidden="1">"c2412"</definedName>
    <definedName name="IQ_TR_GROSS_OFFERING_AMT" hidden="1">"c2262"</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DA" hidden="1">"c2303"</definedName>
    <definedName name="IQ_TR_IMPLIED_EV_EBITDA_FINAL" hidden="1">"c16251"</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FED_FUNDS" hidden="1">"c2524"</definedName>
    <definedName name="IQ_UNDRAWN_FHLB" hidden="1">"c2520"</definedName>
    <definedName name="IQ_UNDRAWN_LC" hidden="1">"c2521"</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RECOG_TAX_BENEFIT_BEG_PERIOD" hidden="1">"c15732"</definedName>
    <definedName name="IQ_UNRECOG_TAX_BENEFIT_END_PERIOD" hidden="1">"c15740"</definedName>
    <definedName name="IQ_UNRECOG_TAX_BENEFIT_OTHER_ADJ" hidden="1">"c15739"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TRADING_DOM_FFIEC" hidden="1">"c12919"</definedName>
    <definedName name="IQ_US_AGENCY_OBLIG_TRADING_FFIEC" hidden="1">"c12814"</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VAIL_SALE_FFIEC" hidden="1">"c12794"</definedName>
    <definedName name="IQ_US_SPONSORED_AGENCY_OBLIG_FFIEC" hidden="1">"c12780"</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YEAR_FOUNDED" hidden="1">"c6793"</definedName>
    <definedName name="IQ_YEARHIGH" hidden="1">"c1337"</definedName>
    <definedName name="IQ_YEARHIGH_DATE" hidden="1">"c2250"</definedName>
    <definedName name="IQ_YEARHIGH_RT" hidden="1">"YEARHIGH"</definedName>
    <definedName name="IQ_YEARLOW" hidden="1">"c1338"</definedName>
    <definedName name="IQ_YEARLOW_DATE" hidden="1">"c2251"</definedName>
    <definedName name="IQ_YEARLOW_RT" hidden="1">"YEARLOW"</definedName>
    <definedName name="IQ_YIELD_FED_FUNDS_SOLD_FFIEC" hidden="1">"c13487"</definedName>
    <definedName name="IQ_YIELD_TRADING_ASSETS_FFIEC" hidden="1">"c13488"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kayla"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ayla"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ayla"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ayla"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ayla"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fg"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fg"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fg"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fg"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fg"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jhg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jhg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jhg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jhg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jhg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k"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k"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k"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k"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kkk"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ll"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ll"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ll"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ll"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lll"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0"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0"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0"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0"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1"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1"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1"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1"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2"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2"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2"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2"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1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2"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2"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2"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2"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3"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3"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3"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3"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3"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4"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4"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4"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4"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5"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5"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5"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5"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5"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6"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6"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6"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6"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6"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7"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7"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7"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7"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ame7"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nn"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nn"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nn"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nn"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nn"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swhew"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swhew"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swhew"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swhew"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nswhew"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ooo"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ooo"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ooo"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ooo"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oooooo"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OtherDraw" localSheetId="2" hidden="1">#REF!</definedName>
    <definedName name="OtherDraw" localSheetId="1" hidden="1">#REF!</definedName>
    <definedName name="OtherDraw" localSheetId="4" hidden="1">#REF!</definedName>
    <definedName name="OtherDraw" localSheetId="0" hidden="1">#REF!</definedName>
    <definedName name="OtherDraw" hidden="1">#REF!</definedName>
    <definedName name="PO"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PO"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PO"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PO"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PO"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_xlnm.Print_Area" localSheetId="14">amortizations!$A$1:$AE$431</definedName>
    <definedName name="_xlnm.Print_Area" localSheetId="2">#REF!</definedName>
    <definedName name="_xlnm.Print_Area" localSheetId="1">'BP- deal core data'!$A$1:$P$90</definedName>
    <definedName name="_xlnm.Print_Area" localSheetId="4">#REF!</definedName>
    <definedName name="_xlnm.Print_Area" localSheetId="0">#REF!</definedName>
    <definedName name="_xlnm.Print_Area" localSheetId="13">cashflows!$A$1:$V$79</definedName>
    <definedName name="_xlnm.Print_Area" localSheetId="9">'credit calcs'!$A$1:$AE$93</definedName>
    <definedName name="_xlnm.Print_Area" localSheetId="12">expenses!$A$1:$E$80</definedName>
    <definedName name="_xlnm.Print_Area" localSheetId="15">'flow of funds'!$B$1:$AC$166</definedName>
    <definedName name="_xlnm.Print_Area" localSheetId="16">'Housing w Services'!$A$2:$I$29</definedName>
    <definedName name="_xlnm.Print_Area" localSheetId="7">'project budget'!$A$1:$M$95</definedName>
    <definedName name="_xlnm.Print_Area" localSheetId="10">'rent summary'!$A$1:$G$39</definedName>
    <definedName name="_xlnm.Print_Area" localSheetId="11">rents!$A$1:$AK$108</definedName>
    <definedName name="_xlnm.Print_Area" localSheetId="8">'sources-uses'!$A$1:$AS$97</definedName>
    <definedName name="_xlnm.Print_Area" localSheetId="17">'VHFA Use'!$A$1:$H$42</definedName>
    <definedName name="_xlnm.Print_Titles" localSheetId="14">amortizations!$A:$A</definedName>
    <definedName name="RAE"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jnah"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jnah"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jnah"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jnah"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aejnah"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ena"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ena"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ena"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ena"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ena"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es" localSheetId="2" hidden="1">{#N/A,#N/A,TRUE,"toc";#N/A,#N/A,TRUE,"benefits";#N/A,#N/A,TRUE,"TAXCREDITS";#N/A,#N/A,TRUE,"sourcedetail";#N/A,#N/A,TRUE,"finsum";#N/A,#N/A,TRUE,"cash";#N/A,#N/A,TRUE,"tax";#N/A,#N/A,TRUE,"loan2";#N/A,#N/A,TRUE,"loan3";#N/A,#N/A,TRUE,"deprec";#N/A,#N/A,TRUE,"funded";#N/A,#N/A,TRUE,"SALE";#N/A,#N/A,TRUE,"benefits long";#N/A,#N/A,TRUE,"IRR"}</definedName>
    <definedName name="res" localSheetId="1" hidden="1">{#N/A,#N/A,TRUE,"toc";#N/A,#N/A,TRUE,"benefits";#N/A,#N/A,TRUE,"TAXCREDITS";#N/A,#N/A,TRUE,"sourcedetail";#N/A,#N/A,TRUE,"finsum";#N/A,#N/A,TRUE,"cash";#N/A,#N/A,TRUE,"tax";#N/A,#N/A,TRUE,"loan2";#N/A,#N/A,TRUE,"loan3";#N/A,#N/A,TRUE,"deprec";#N/A,#N/A,TRUE,"funded";#N/A,#N/A,TRUE,"SALE";#N/A,#N/A,TRUE,"benefits long";#N/A,#N/A,TRUE,"IRR"}</definedName>
    <definedName name="res" localSheetId="4" hidden="1">{#N/A,#N/A,TRUE,"toc";#N/A,#N/A,TRUE,"benefits";#N/A,#N/A,TRUE,"TAXCREDITS";#N/A,#N/A,TRUE,"sourcedetail";#N/A,#N/A,TRUE,"finsum";#N/A,#N/A,TRUE,"cash";#N/A,#N/A,TRUE,"tax";#N/A,#N/A,TRUE,"loan2";#N/A,#N/A,TRUE,"loan3";#N/A,#N/A,TRUE,"deprec";#N/A,#N/A,TRUE,"funded";#N/A,#N/A,TRUE,"SALE";#N/A,#N/A,TRUE,"benefits long";#N/A,#N/A,TRUE,"IRR"}</definedName>
    <definedName name="res" localSheetId="0" hidden="1">{#N/A,#N/A,TRUE,"toc";#N/A,#N/A,TRUE,"benefits";#N/A,#N/A,TRUE,"TAXCREDITS";#N/A,#N/A,TRUE,"sourcedetail";#N/A,#N/A,TRUE,"finsum";#N/A,#N/A,TRUE,"cash";#N/A,#N/A,TRUE,"tax";#N/A,#N/A,TRUE,"loan2";#N/A,#N/A,TRUE,"loan3";#N/A,#N/A,TRUE,"deprec";#N/A,#N/A,TRUE,"funded";#N/A,#N/A,TRUE,"SALE";#N/A,#N/A,TRUE,"benefits long";#N/A,#N/A,TRUE,"IRR"}</definedName>
    <definedName name="res" hidden="1">{#N/A,#N/A,TRUE,"toc";#N/A,#N/A,TRUE,"benefits";#N/A,#N/A,TRUE,"TAXCREDITS";#N/A,#N/A,TRUE,"sourcedetail";#N/A,#N/A,TRUE,"finsum";#N/A,#N/A,TRUE,"cash";#N/A,#N/A,TRUE,"tax";#N/A,#N/A,TRUE,"loan2";#N/A,#N/A,TRUE,"loan3";#N/A,#N/A,TRUE,"deprec";#N/A,#N/A,TRUE,"funded";#N/A,#N/A,TRUE,"SALE";#N/A,#N/A,TRUE,"benefits long";#N/A,#N/A,TRUE,"IRR"}</definedName>
    <definedName name="rgawe"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awe"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awe"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awe"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awe"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eqw"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geqw"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geqw"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geqw"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geqw"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rgtse"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tse"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tse"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tse"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rgtse"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sdbfwajelk"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sdbfwajelk"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sdbfwajelk"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sdbfwajelk"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sdbfwajelk"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Swvu.EXPENSES." localSheetId="7" hidden="1">'project budget'!#REF!</definedName>
    <definedName name="Swvu.EXPENSES." localSheetId="8" hidden="1">'sources-uses'!#REF!</definedName>
    <definedName name="t"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e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e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e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e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e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r"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r"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r"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r"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tr"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u"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u"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u"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u"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u"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vmgfvmh" localSheetId="2" hidden="1">{#N/A,#N/A,TRUE,"toc";#N/A,#N/A,TRUE,"benefits";#N/A,#N/A,TRUE,"TAXCREDITS";#N/A,#N/A,TRUE,"sourcedetail";#N/A,#N/A,TRUE,"finsum";#N/A,#N/A,TRUE,"cash";#N/A,#N/A,TRUE,"tax";#N/A,#N/A,TRUE,"loan2";#N/A,#N/A,TRUE,"loan3";#N/A,#N/A,TRUE,"deprec";#N/A,#N/A,TRUE,"funded";#N/A,#N/A,TRUE,"SALE";#N/A,#N/A,TRUE,"benefits long";#N/A,#N/A,TRUE,"IRR"}</definedName>
    <definedName name="vmgfvmh" localSheetId="1" hidden="1">{#N/A,#N/A,TRUE,"toc";#N/A,#N/A,TRUE,"benefits";#N/A,#N/A,TRUE,"TAXCREDITS";#N/A,#N/A,TRUE,"sourcedetail";#N/A,#N/A,TRUE,"finsum";#N/A,#N/A,TRUE,"cash";#N/A,#N/A,TRUE,"tax";#N/A,#N/A,TRUE,"loan2";#N/A,#N/A,TRUE,"loan3";#N/A,#N/A,TRUE,"deprec";#N/A,#N/A,TRUE,"funded";#N/A,#N/A,TRUE,"SALE";#N/A,#N/A,TRUE,"benefits long";#N/A,#N/A,TRUE,"IRR"}</definedName>
    <definedName name="vmgfvmh" localSheetId="4" hidden="1">{#N/A,#N/A,TRUE,"toc";#N/A,#N/A,TRUE,"benefits";#N/A,#N/A,TRUE,"TAXCREDITS";#N/A,#N/A,TRUE,"sourcedetail";#N/A,#N/A,TRUE,"finsum";#N/A,#N/A,TRUE,"cash";#N/A,#N/A,TRUE,"tax";#N/A,#N/A,TRUE,"loan2";#N/A,#N/A,TRUE,"loan3";#N/A,#N/A,TRUE,"deprec";#N/A,#N/A,TRUE,"funded";#N/A,#N/A,TRUE,"SALE";#N/A,#N/A,TRUE,"benefits long";#N/A,#N/A,TRUE,"IRR"}</definedName>
    <definedName name="vmgfvmh" localSheetId="0" hidden="1">{#N/A,#N/A,TRUE,"toc";#N/A,#N/A,TRUE,"benefits";#N/A,#N/A,TRUE,"TAXCREDITS";#N/A,#N/A,TRUE,"sourcedetail";#N/A,#N/A,TRUE,"finsum";#N/A,#N/A,TRUE,"cash";#N/A,#N/A,TRUE,"tax";#N/A,#N/A,TRUE,"loan2";#N/A,#N/A,TRUE,"loan3";#N/A,#N/A,TRUE,"deprec";#N/A,#N/A,TRUE,"funded";#N/A,#N/A,TRUE,"SALE";#N/A,#N/A,TRUE,"benefits long";#N/A,#N/A,TRUE,"IRR"}</definedName>
    <definedName name="vmgfvmh" hidden="1">{#N/A,#N/A,TRUE,"toc";#N/A,#N/A,TRUE,"benefits";#N/A,#N/A,TRUE,"TAXCREDITS";#N/A,#N/A,TRUE,"sourcedetail";#N/A,#N/A,TRUE,"finsum";#N/A,#N/A,TRUE,"cash";#N/A,#N/A,TRUE,"tax";#N/A,#N/A,TRUE,"loan2";#N/A,#N/A,TRUE,"loan3";#N/A,#N/A,TRUE,"deprec";#N/A,#N/A,TRUE,"funded";#N/A,#N/A,TRUE,"SALE";#N/A,#N/A,TRUE,"benefits long";#N/A,#N/A,TRUE,"IRR"}</definedName>
    <definedName name="we"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we"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we"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we"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we"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wrn.BofA_RE." localSheetId="2"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wrn.BofA_RE." localSheetId="1"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wrn.BofA_RE." localSheetId="4"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wrn.BofA_RE." localSheetId="0"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wrn.BofA_RE." hidden="1">{#N/A,#N/A,TRUE,"toc";#N/A,#N/A,TRUE,"data1";#N/A,#N/A,TRUE,"financing";#N/A,#N/A,TRUE,"source";#N/A,#N/A,TRUE,"flow";#N/A,#N/A,TRUE,"cash";#N/A,#N/A,TRUE,"-3%";#N/A,#N/A,TRUE,"tax";#N/A,#N/A,TRUE,"ben";#N/A,#N/A,TRUE,"Exit";#N/A,#N/A,TRUE,"Mezza";#N/A,#N/A,TRUE,"ln2";#N/A,#N/A,TRUE,"ln3";#N/A,#N/A,TRUE,"ln4";#N/A,#N/A,TRUE,"lnsum";#N/A,#N/A,TRUE,"rep";#N/A,#N/A,TRUE,"depr";#N/A,#N/A,TRUE,"funded";#N/A,#N/A,TRUE,"fedtc";#N/A,#N/A,TRUE,"statetc";#N/A,#N/A,TRUE,"mingain";#N/A,#N/A,TRUE,"Qirr (2)"}</definedName>
    <definedName name="wrn.CDA." localSheetId="2" hidden="1">{#N/A,#N/A,TRUE,"Comments";#N/A,#N/A,TRUE,"toc";#N/A,#N/A,TRUE,"data1";#N/A,#N/A,TRUE,"financing";#N/A,#N/A,TRUE,"source";#N/A,#N/A,TRUE,"cash";#N/A,#N/A,TRUE,"tax";#N/A,#N/A,TRUE,"ln3";#N/A,#N/A,TRUE,"ln2 (2)";#N/A,#N/A,TRUE,"mht";#N/A,#N/A,TRUE,"cda2";#N/A,#N/A,TRUE,"mtdata1";#N/A,#N/A,TRUE,"mtsource";#N/A,#N/A,TRUE,"mtop";#N/A,#N/A,TRUE,"noi";#N/A,#N/A,TRUE,"base";#N/A,#N/A,TRUE,"mtcash";#N/A,#N/A,TRUE,"mttax";#N/A,#N/A,TRUE,"ti"}</definedName>
    <definedName name="wrn.CDA." localSheetId="1" hidden="1">{#N/A,#N/A,TRUE,"Comments";#N/A,#N/A,TRUE,"toc";#N/A,#N/A,TRUE,"data1";#N/A,#N/A,TRUE,"financing";#N/A,#N/A,TRUE,"source";#N/A,#N/A,TRUE,"cash";#N/A,#N/A,TRUE,"tax";#N/A,#N/A,TRUE,"ln3";#N/A,#N/A,TRUE,"ln2 (2)";#N/A,#N/A,TRUE,"mht";#N/A,#N/A,TRUE,"cda2";#N/A,#N/A,TRUE,"mtdata1";#N/A,#N/A,TRUE,"mtsource";#N/A,#N/A,TRUE,"mtop";#N/A,#N/A,TRUE,"noi";#N/A,#N/A,TRUE,"base";#N/A,#N/A,TRUE,"mtcash";#N/A,#N/A,TRUE,"mttax";#N/A,#N/A,TRUE,"ti"}</definedName>
    <definedName name="wrn.CDA." localSheetId="4" hidden="1">{#N/A,#N/A,TRUE,"Comments";#N/A,#N/A,TRUE,"toc";#N/A,#N/A,TRUE,"data1";#N/A,#N/A,TRUE,"financing";#N/A,#N/A,TRUE,"source";#N/A,#N/A,TRUE,"cash";#N/A,#N/A,TRUE,"tax";#N/A,#N/A,TRUE,"ln3";#N/A,#N/A,TRUE,"ln2 (2)";#N/A,#N/A,TRUE,"mht";#N/A,#N/A,TRUE,"cda2";#N/A,#N/A,TRUE,"mtdata1";#N/A,#N/A,TRUE,"mtsource";#N/A,#N/A,TRUE,"mtop";#N/A,#N/A,TRUE,"noi";#N/A,#N/A,TRUE,"base";#N/A,#N/A,TRUE,"mtcash";#N/A,#N/A,TRUE,"mttax";#N/A,#N/A,TRUE,"ti"}</definedName>
    <definedName name="wrn.CDA." localSheetId="0" hidden="1">{#N/A,#N/A,TRUE,"Comments";#N/A,#N/A,TRUE,"toc";#N/A,#N/A,TRUE,"data1";#N/A,#N/A,TRUE,"financing";#N/A,#N/A,TRUE,"source";#N/A,#N/A,TRUE,"cash";#N/A,#N/A,TRUE,"tax";#N/A,#N/A,TRUE,"ln3";#N/A,#N/A,TRUE,"ln2 (2)";#N/A,#N/A,TRUE,"mht";#N/A,#N/A,TRUE,"cda2";#N/A,#N/A,TRUE,"mtdata1";#N/A,#N/A,TRUE,"mtsource";#N/A,#N/A,TRUE,"mtop";#N/A,#N/A,TRUE,"noi";#N/A,#N/A,TRUE,"base";#N/A,#N/A,TRUE,"mtcash";#N/A,#N/A,TRUE,"mttax";#N/A,#N/A,TRUE,"ti"}</definedName>
    <definedName name="wrn.CDA." hidden="1">{#N/A,#N/A,TRUE,"Comments";#N/A,#N/A,TRUE,"toc";#N/A,#N/A,TRUE,"data1";#N/A,#N/A,TRUE,"financing";#N/A,#N/A,TRUE,"source";#N/A,#N/A,TRUE,"cash";#N/A,#N/A,TRUE,"tax";#N/A,#N/A,TRUE,"ln3";#N/A,#N/A,TRUE,"ln2 (2)";#N/A,#N/A,TRUE,"mht";#N/A,#N/A,TRUE,"cda2";#N/A,#N/A,TRUE,"mtdata1";#N/A,#N/A,TRUE,"mtsource";#N/A,#N/A,TRUE,"mtop";#N/A,#N/A,TRUE,"noi";#N/A,#N/A,TRUE,"base";#N/A,#N/A,TRUE,"mtcash";#N/A,#N/A,TRUE,"mttax";#N/A,#N/A,TRUE,"ti"}</definedName>
    <definedName name="wrn.investors._.report." localSheetId="2" hidden="1">{#N/A,#N/A,FALSE,"Sources and Uses";#N/A,#N/A,FALSE,"Revenue and Expenses";#N/A,#N/A,FALSE,"Profit and Loss";#N/A,#N/A,FALSE,"Sales";#N/A,#N/A,FALSE,"Depreciation";#N/A,#N/A,FALSE,"Operating Reserve";#N/A,#N/A,FALSE,"Revenue and Expenses (2)";#N/A,#N/A,FALSE,"Profit and Loss (2)";#N/A,#N/A,FALSE,"Disbursements"}</definedName>
    <definedName name="wrn.investors._.report." localSheetId="1" hidden="1">{#N/A,#N/A,FALSE,"Sources and Uses";#N/A,#N/A,FALSE,"Revenue and Expenses";#N/A,#N/A,FALSE,"Profit and Loss";#N/A,#N/A,FALSE,"Sales";#N/A,#N/A,FALSE,"Depreciation";#N/A,#N/A,FALSE,"Operating Reserve";#N/A,#N/A,FALSE,"Revenue and Expenses (2)";#N/A,#N/A,FALSE,"Profit and Loss (2)";#N/A,#N/A,FALSE,"Disbursements"}</definedName>
    <definedName name="wrn.investors._.report." localSheetId="4" hidden="1">{#N/A,#N/A,FALSE,"Sources and Uses";#N/A,#N/A,FALSE,"Revenue and Expenses";#N/A,#N/A,FALSE,"Profit and Loss";#N/A,#N/A,FALSE,"Sales";#N/A,#N/A,FALSE,"Depreciation";#N/A,#N/A,FALSE,"Operating Reserve";#N/A,#N/A,FALSE,"Revenue and Expenses (2)";#N/A,#N/A,FALSE,"Profit and Loss (2)";#N/A,#N/A,FALSE,"Disbursements"}</definedName>
    <definedName name="wrn.investors._.report." localSheetId="0" hidden="1">{#N/A,#N/A,FALSE,"Sources and Uses";#N/A,#N/A,FALSE,"Revenue and Expenses";#N/A,#N/A,FALSE,"Profit and Loss";#N/A,#N/A,FALSE,"Sales";#N/A,#N/A,FALSE,"Depreciation";#N/A,#N/A,FALSE,"Operating Reserve";#N/A,#N/A,FALSE,"Revenue and Expenses (2)";#N/A,#N/A,FALSE,"Profit and Loss (2)";#N/A,#N/A,FALSE,"Disbursements"}</definedName>
    <definedName name="wrn.investors._.report." hidden="1">{#N/A,#N/A,FALSE,"Sources and Uses";#N/A,#N/A,FALSE,"Revenue and Expenses";#N/A,#N/A,FALSE,"Profit and Loss";#N/A,#N/A,FALSE,"Sales";#N/A,#N/A,FALSE,"Depreciation";#N/A,#N/A,FALSE,"Operating Reserve";#N/A,#N/A,FALSE,"Revenue and Expenses (2)";#N/A,#N/A,FALSE,"Profit and Loss (2)";#N/A,#N/A,FALSE,"Disbursements"}</definedName>
    <definedName name="wrn.MT." localSheetId="2" hidden="1">{#N/A,#N/A,TRUE,"tocMT";#N/A,#N/A,TRUE,"mtdata1";#N/A,#N/A,TRUE,"noi";#N/A,#N/A,TRUE,"Income";#N/A,#N/A,TRUE,"Expense";#N/A,#N/A,TRUE,"Interim";#N/A,#N/A,TRUE,"base";#N/A,#N/A,TRUE,"mtcash";#N/A,#N/A,TRUE,"mttax"}</definedName>
    <definedName name="wrn.MT." localSheetId="1" hidden="1">{#N/A,#N/A,TRUE,"tocMT";#N/A,#N/A,TRUE,"mtdata1";#N/A,#N/A,TRUE,"noi";#N/A,#N/A,TRUE,"Income";#N/A,#N/A,TRUE,"Expense";#N/A,#N/A,TRUE,"Interim";#N/A,#N/A,TRUE,"base";#N/A,#N/A,TRUE,"mtcash";#N/A,#N/A,TRUE,"mttax"}</definedName>
    <definedName name="wrn.MT." localSheetId="4" hidden="1">{#N/A,#N/A,TRUE,"tocMT";#N/A,#N/A,TRUE,"mtdata1";#N/A,#N/A,TRUE,"noi";#N/A,#N/A,TRUE,"Income";#N/A,#N/A,TRUE,"Expense";#N/A,#N/A,TRUE,"Interim";#N/A,#N/A,TRUE,"base";#N/A,#N/A,TRUE,"mtcash";#N/A,#N/A,TRUE,"mttax"}</definedName>
    <definedName name="wrn.MT." localSheetId="0" hidden="1">{#N/A,#N/A,TRUE,"tocMT";#N/A,#N/A,TRUE,"mtdata1";#N/A,#N/A,TRUE,"noi";#N/A,#N/A,TRUE,"Income";#N/A,#N/A,TRUE,"Expense";#N/A,#N/A,TRUE,"Interim";#N/A,#N/A,TRUE,"base";#N/A,#N/A,TRUE,"mtcash";#N/A,#N/A,TRUE,"mttax"}</definedName>
    <definedName name="wrn.MT." hidden="1">{#N/A,#N/A,TRUE,"tocMT";#N/A,#N/A,TRUE,"mtdata1";#N/A,#N/A,TRUE,"noi";#N/A,#N/A,TRUE,"Income";#N/A,#N/A,TRUE,"Expense";#N/A,#N/A,TRUE,"Interim";#N/A,#N/A,TRUE,"base";#N/A,#N/A,TRUE,"mtcash";#N/A,#N/A,TRUE,"mttax"}</definedName>
    <definedName name="wrn.Print." localSheetId="2" hidden="1">{#N/A,#N/A,TRUE,"PRO FORMA";#N/A,#N/A,TRUE,"PRO FORMA (2)";#N/A,#N/A,TRUE,"PRO FORMA (3)";#N/A,#N/A,TRUE,"PRO FORMA (4)"}</definedName>
    <definedName name="wrn.Print." localSheetId="1" hidden="1">{#N/A,#N/A,TRUE,"PRO FORMA";#N/A,#N/A,TRUE,"PRO FORMA (2)";#N/A,#N/A,TRUE,"PRO FORMA (3)";#N/A,#N/A,TRUE,"PRO FORMA (4)"}</definedName>
    <definedName name="wrn.Print." localSheetId="4" hidden="1">{#N/A,#N/A,TRUE,"PRO FORMA";#N/A,#N/A,TRUE,"PRO FORMA (2)";#N/A,#N/A,TRUE,"PRO FORMA (3)";#N/A,#N/A,TRUE,"PRO FORMA (4)"}</definedName>
    <definedName name="wrn.Print." localSheetId="0" hidden="1">{#N/A,#N/A,TRUE,"PRO FORMA";#N/A,#N/A,TRUE,"PRO FORMA (2)";#N/A,#N/A,TRUE,"PRO FORMA (3)";#N/A,#N/A,TRUE,"PRO FORMA (4)"}</definedName>
    <definedName name="wrn.Print." hidden="1">{#N/A,#N/A,TRUE,"PRO FORMA";#N/A,#N/A,TRUE,"PRO FORMA (2)";#N/A,#N/A,TRUE,"PRO FORMA (3)";#N/A,#N/A,TRUE,"PRO FORMA (4)"}</definedName>
    <definedName name="wrn.print2." localSheetId="2" hidden="1">{#N/A,#N/A,TRUE,"PRO FORMA";#N/A,#N/A,TRUE,"PRO FORMA (2)";#N/A,#N/A,TRUE,"PRO FORMA (3)";#N/A,#N/A,TRUE,"PRO FORMA (4)"}</definedName>
    <definedName name="wrn.print2." localSheetId="1" hidden="1">{#N/A,#N/A,TRUE,"PRO FORMA";#N/A,#N/A,TRUE,"PRO FORMA (2)";#N/A,#N/A,TRUE,"PRO FORMA (3)";#N/A,#N/A,TRUE,"PRO FORMA (4)"}</definedName>
    <definedName name="wrn.print2." localSheetId="4" hidden="1">{#N/A,#N/A,TRUE,"PRO FORMA";#N/A,#N/A,TRUE,"PRO FORMA (2)";#N/A,#N/A,TRUE,"PRO FORMA (3)";#N/A,#N/A,TRUE,"PRO FORMA (4)"}</definedName>
    <definedName name="wrn.print2." localSheetId="0" hidden="1">{#N/A,#N/A,TRUE,"PRO FORMA";#N/A,#N/A,TRUE,"PRO FORMA (2)";#N/A,#N/A,TRUE,"PRO FORMA (3)";#N/A,#N/A,TRUE,"PRO FORMA (4)"}</definedName>
    <definedName name="wrn.print2." hidden="1">{#N/A,#N/A,TRUE,"PRO FORMA";#N/A,#N/A,TRUE,"PRO FORMA (2)";#N/A,#N/A,TRUE,"PRO FORMA (3)";#N/A,#N/A,TRUE,"PRO FORMA (4)"}</definedName>
    <definedName name="wrn.proforma." localSheetId="17" hidden="1">{#N/A,#N/A,FALSE,"sources";#N/A,#N/A,FALSE,"uses";#N/A,#N/A,FALSE,"rents";#N/A,#N/A,FALSE,"expenses";#N/A,#N/A,FALSE,"cashflows";#N/A,#N/A,FALSE,"flow of funds"}</definedName>
    <definedName name="wrn.proforma." hidden="1">{#N/A,#N/A,FALSE,"sources";#N/A,#N/A,FALSE,"uses";#N/A,#N/A,FALSE,"rents";#N/A,#N/A,FALSE,"expenses";#N/A,#N/A,FALSE,"cashflows";#N/A,#N/A,FALSE,"flow of funds"}</definedName>
    <definedName name="wrn.proj"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 localSheetId="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REDiff." localSheetId="2" hidden="1">{#N/A,#N/A,TRUE,"toc";#N/A,#N/A,TRUE,"geninfo2";#N/A,#N/A,TRUE,"financing";#N/A,#N/A,TRUE,"source";#N/A,#N/A,TRUE,"cashd";#N/A,#N/A,TRUE,"-3%d";#N/A,#N/A,TRUE,"taxd";#N/A,#N/A,TRUE,"bend";#N/A,#N/A,TRUE,"Mezzad";#N/A,#N/A,TRUE,"ln2";#N/A,#N/A,TRUE,"ln3";#N/A,#N/A,TRUE,"ln4";#N/A,#N/A,TRUE,"lnsumd";#N/A,#N/A,TRUE,"rep";#N/A,#N/A,TRUE,"depr";#N/A,#N/A,TRUE,"funded";#N/A,#N/A,TRUE,"fedtc";#N/A,#N/A,TRUE,"statetc";#N/A,#N/A,TRUE,"saled";#N/A,#N/A,TRUE,"Qirrd";#N/A,#N/A,TRUE,"mingaind";#N/A,#N/A,TRUE,"bstestd"}</definedName>
    <definedName name="wrn.REDiff." localSheetId="1" hidden="1">{#N/A,#N/A,TRUE,"toc";#N/A,#N/A,TRUE,"geninfo2";#N/A,#N/A,TRUE,"financing";#N/A,#N/A,TRUE,"source";#N/A,#N/A,TRUE,"cashd";#N/A,#N/A,TRUE,"-3%d";#N/A,#N/A,TRUE,"taxd";#N/A,#N/A,TRUE,"bend";#N/A,#N/A,TRUE,"Mezzad";#N/A,#N/A,TRUE,"ln2";#N/A,#N/A,TRUE,"ln3";#N/A,#N/A,TRUE,"ln4";#N/A,#N/A,TRUE,"lnsumd";#N/A,#N/A,TRUE,"rep";#N/A,#N/A,TRUE,"depr";#N/A,#N/A,TRUE,"funded";#N/A,#N/A,TRUE,"fedtc";#N/A,#N/A,TRUE,"statetc";#N/A,#N/A,TRUE,"saled";#N/A,#N/A,TRUE,"Qirrd";#N/A,#N/A,TRUE,"mingaind";#N/A,#N/A,TRUE,"bstestd"}</definedName>
    <definedName name="wrn.REDiff." localSheetId="4" hidden="1">{#N/A,#N/A,TRUE,"toc";#N/A,#N/A,TRUE,"geninfo2";#N/A,#N/A,TRUE,"financing";#N/A,#N/A,TRUE,"source";#N/A,#N/A,TRUE,"cashd";#N/A,#N/A,TRUE,"-3%d";#N/A,#N/A,TRUE,"taxd";#N/A,#N/A,TRUE,"bend";#N/A,#N/A,TRUE,"Mezzad";#N/A,#N/A,TRUE,"ln2";#N/A,#N/A,TRUE,"ln3";#N/A,#N/A,TRUE,"ln4";#N/A,#N/A,TRUE,"lnsumd";#N/A,#N/A,TRUE,"rep";#N/A,#N/A,TRUE,"depr";#N/A,#N/A,TRUE,"funded";#N/A,#N/A,TRUE,"fedtc";#N/A,#N/A,TRUE,"statetc";#N/A,#N/A,TRUE,"saled";#N/A,#N/A,TRUE,"Qirrd";#N/A,#N/A,TRUE,"mingaind";#N/A,#N/A,TRUE,"bstestd"}</definedName>
    <definedName name="wrn.REDiff." localSheetId="0" hidden="1">{#N/A,#N/A,TRUE,"toc";#N/A,#N/A,TRUE,"geninfo2";#N/A,#N/A,TRUE,"financing";#N/A,#N/A,TRUE,"source";#N/A,#N/A,TRUE,"cashd";#N/A,#N/A,TRUE,"-3%d";#N/A,#N/A,TRUE,"taxd";#N/A,#N/A,TRUE,"bend";#N/A,#N/A,TRUE,"Mezzad";#N/A,#N/A,TRUE,"ln2";#N/A,#N/A,TRUE,"ln3";#N/A,#N/A,TRUE,"ln4";#N/A,#N/A,TRUE,"lnsumd";#N/A,#N/A,TRUE,"rep";#N/A,#N/A,TRUE,"depr";#N/A,#N/A,TRUE,"funded";#N/A,#N/A,TRUE,"fedtc";#N/A,#N/A,TRUE,"statetc";#N/A,#N/A,TRUE,"saled";#N/A,#N/A,TRUE,"Qirrd";#N/A,#N/A,TRUE,"mingaind";#N/A,#N/A,TRUE,"bstestd"}</definedName>
    <definedName name="wrn.REDiff." hidden="1">{#N/A,#N/A,TRUE,"toc";#N/A,#N/A,TRUE,"geninfo2";#N/A,#N/A,TRUE,"financing";#N/A,#N/A,TRUE,"source";#N/A,#N/A,TRUE,"cashd";#N/A,#N/A,TRUE,"-3%d";#N/A,#N/A,TRUE,"taxd";#N/A,#N/A,TRUE,"bend";#N/A,#N/A,TRUE,"Mezzad";#N/A,#N/A,TRUE,"ln2";#N/A,#N/A,TRUE,"ln3";#N/A,#N/A,TRUE,"ln4";#N/A,#N/A,TRUE,"lnsumd";#N/A,#N/A,TRUE,"rep";#N/A,#N/A,TRUE,"depr";#N/A,#N/A,TRUE,"funded";#N/A,#N/A,TRUE,"fedtc";#N/A,#N/A,TRUE,"statetc";#N/A,#N/A,TRUE,"saled";#N/A,#N/A,TRUE,"Qirrd";#N/A,#N/A,TRUE,"mingaind";#N/A,#N/A,TRUE,"bstestd"}</definedName>
    <definedName name="wrn.RESame." localSheetId="2" hidden="1">{#N/A,#N/A,TRUE,"toc";#N/A,#N/A,TRUE,"data1";#N/A,#N/A,TRUE,"financing";#N/A,#N/A,TRUE,"source";#N/A,#N/A,TRUE,"cash";#N/A,#N/A,TRUE,"-3%";#N/A,#N/A,TRUE,"tax";#N/A,#N/A,TRUE,"ben";#N/A,#N/A,TRUE,"Mezza";#N/A,#N/A,TRUE,"ln2";#N/A,#N/A,TRUE,"ln3";#N/A,#N/A,TRUE,"ln4";#N/A,#N/A,TRUE,"lnsum";#N/A,#N/A,TRUE,"rep";#N/A,#N/A,TRUE,"depr";#N/A,#N/A,TRUE,"funded";#N/A,#N/A,TRUE,"fedtc";#N/A,#N/A,TRUE,"statetc";#N/A,#N/A,TRUE,"mingain";#N/A,#N/A,TRUE,"Qirr";#N/A,#N/A,TRUE,"bstest"}</definedName>
    <definedName name="wrn.RESame." localSheetId="1" hidden="1">{#N/A,#N/A,TRUE,"toc";#N/A,#N/A,TRUE,"data1";#N/A,#N/A,TRUE,"financing";#N/A,#N/A,TRUE,"source";#N/A,#N/A,TRUE,"cash";#N/A,#N/A,TRUE,"-3%";#N/A,#N/A,TRUE,"tax";#N/A,#N/A,TRUE,"ben";#N/A,#N/A,TRUE,"Mezza";#N/A,#N/A,TRUE,"ln2";#N/A,#N/A,TRUE,"ln3";#N/A,#N/A,TRUE,"ln4";#N/A,#N/A,TRUE,"lnsum";#N/A,#N/A,TRUE,"rep";#N/A,#N/A,TRUE,"depr";#N/A,#N/A,TRUE,"funded";#N/A,#N/A,TRUE,"fedtc";#N/A,#N/A,TRUE,"statetc";#N/A,#N/A,TRUE,"mingain";#N/A,#N/A,TRUE,"Qirr";#N/A,#N/A,TRUE,"bstest"}</definedName>
    <definedName name="wrn.RESame." localSheetId="4" hidden="1">{#N/A,#N/A,TRUE,"toc";#N/A,#N/A,TRUE,"data1";#N/A,#N/A,TRUE,"financing";#N/A,#N/A,TRUE,"source";#N/A,#N/A,TRUE,"cash";#N/A,#N/A,TRUE,"-3%";#N/A,#N/A,TRUE,"tax";#N/A,#N/A,TRUE,"ben";#N/A,#N/A,TRUE,"Mezza";#N/A,#N/A,TRUE,"ln2";#N/A,#N/A,TRUE,"ln3";#N/A,#N/A,TRUE,"ln4";#N/A,#N/A,TRUE,"lnsum";#N/A,#N/A,TRUE,"rep";#N/A,#N/A,TRUE,"depr";#N/A,#N/A,TRUE,"funded";#N/A,#N/A,TRUE,"fedtc";#N/A,#N/A,TRUE,"statetc";#N/A,#N/A,TRUE,"mingain";#N/A,#N/A,TRUE,"Qirr";#N/A,#N/A,TRUE,"bstest"}</definedName>
    <definedName name="wrn.RESame." localSheetId="0" hidden="1">{#N/A,#N/A,TRUE,"toc";#N/A,#N/A,TRUE,"data1";#N/A,#N/A,TRUE,"financing";#N/A,#N/A,TRUE,"source";#N/A,#N/A,TRUE,"cash";#N/A,#N/A,TRUE,"-3%";#N/A,#N/A,TRUE,"tax";#N/A,#N/A,TRUE,"ben";#N/A,#N/A,TRUE,"Mezza";#N/A,#N/A,TRUE,"ln2";#N/A,#N/A,TRUE,"ln3";#N/A,#N/A,TRUE,"ln4";#N/A,#N/A,TRUE,"lnsum";#N/A,#N/A,TRUE,"rep";#N/A,#N/A,TRUE,"depr";#N/A,#N/A,TRUE,"funded";#N/A,#N/A,TRUE,"fedtc";#N/A,#N/A,TRUE,"statetc";#N/A,#N/A,TRUE,"mingain";#N/A,#N/A,TRUE,"Qirr";#N/A,#N/A,TRUE,"bstest"}</definedName>
    <definedName name="wrn.RESame." hidden="1">{#N/A,#N/A,TRUE,"toc";#N/A,#N/A,TRUE,"data1";#N/A,#N/A,TRUE,"financing";#N/A,#N/A,TRUE,"source";#N/A,#N/A,TRUE,"cash";#N/A,#N/A,TRUE,"-3%";#N/A,#N/A,TRUE,"tax";#N/A,#N/A,TRUE,"ben";#N/A,#N/A,TRUE,"Mezza";#N/A,#N/A,TRUE,"ln2";#N/A,#N/A,TRUE,"ln3";#N/A,#N/A,TRUE,"ln4";#N/A,#N/A,TRUE,"lnsum";#N/A,#N/A,TRUE,"rep";#N/A,#N/A,TRUE,"depr";#N/A,#N/A,TRUE,"funded";#N/A,#N/A,TRUE,"fedtc";#N/A,#N/A,TRUE,"statetc";#N/A,#N/A,TRUE,"mingain";#N/A,#N/A,TRUE,"Qirr";#N/A,#N/A,TRUE,"bstest"}</definedName>
    <definedName name="wrn.sponsor._.report." localSheetId="2" hidden="1">{#N/A,#N/A,FALSE,"Cover and Table of Contents";#N/A,#N/A,FALSE,"Sources and Uses";#N/A,#N/A,FALSE,"Revenue and Expenses";#N/A,#N/A,FALSE,"Profit and Loss";#N/A,#N/A,FALSE,"Sales";#N/A,#N/A,FALSE,"LIHTC Calc";#N/A,#N/A,FALSE,"Depreciation";#N/A,#N/A,FALSE,"Operating Reserve";#N/A,#N/A,FALSE,"Disbursements"}</definedName>
    <definedName name="wrn.sponsor._.report." localSheetId="1" hidden="1">{#N/A,#N/A,FALSE,"Cover and Table of Contents";#N/A,#N/A,FALSE,"Sources and Uses";#N/A,#N/A,FALSE,"Revenue and Expenses";#N/A,#N/A,FALSE,"Profit and Loss";#N/A,#N/A,FALSE,"Sales";#N/A,#N/A,FALSE,"LIHTC Calc";#N/A,#N/A,FALSE,"Depreciation";#N/A,#N/A,FALSE,"Operating Reserve";#N/A,#N/A,FALSE,"Disbursements"}</definedName>
    <definedName name="wrn.sponsor._.report." localSheetId="4" hidden="1">{#N/A,#N/A,FALSE,"Cover and Table of Contents";#N/A,#N/A,FALSE,"Sources and Uses";#N/A,#N/A,FALSE,"Revenue and Expenses";#N/A,#N/A,FALSE,"Profit and Loss";#N/A,#N/A,FALSE,"Sales";#N/A,#N/A,FALSE,"LIHTC Calc";#N/A,#N/A,FALSE,"Depreciation";#N/A,#N/A,FALSE,"Operating Reserve";#N/A,#N/A,FALSE,"Disbursements"}</definedName>
    <definedName name="wrn.sponsor._.report." localSheetId="0" hidden="1">{#N/A,#N/A,FALSE,"Cover and Table of Contents";#N/A,#N/A,FALSE,"Sources and Uses";#N/A,#N/A,FALSE,"Revenue and Expenses";#N/A,#N/A,FALSE,"Profit and Loss";#N/A,#N/A,FALSE,"Sales";#N/A,#N/A,FALSE,"LIHTC Calc";#N/A,#N/A,FALSE,"Depreciation";#N/A,#N/A,FALSE,"Operating Reserve";#N/A,#N/A,FALSE,"Disbursements"}</definedName>
    <definedName name="wrn.sponsor._.report." hidden="1">{#N/A,#N/A,FALSE,"Cover and Table of Contents";#N/A,#N/A,FALSE,"Sources and Uses";#N/A,#N/A,FALSE,"Revenue and Expenses";#N/A,#N/A,FALSE,"Profit and Loss";#N/A,#N/A,FALSE,"Sales";#N/A,#N/A,FALSE,"LIHTC Calc";#N/A,#N/A,FALSE,"Depreciation";#N/A,#N/A,FALSE,"Operating Reserve";#N/A,#N/A,FALSE,"Disbursements"}</definedName>
    <definedName name="wrn.Total._.Model." localSheetId="2"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wrn.Total._.Model." localSheetId="1"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wrn.Total._.Model." localSheetId="4"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wrn.Total._.Model." localSheetId="0"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wrn.Total._.Model." hidden="1">{#N/A,#N/A,TRUE,"toc";#N/A,#N/A,TRUE,"data1";#N/A,#N/A,TRUE,"financing";#N/A,#N/A,TRUE,"source";#N/A,#N/A,TRUE,"cash";#N/A,#N/A,TRUE,"DSReserve";#N/A,#N/A,TRUE,"tax";#N/A,#N/A,TRUE,"1st";#N/A,#N/A,TRUE,"3rd";#N/A,#N/A,TRUE,"4th";#N/A,#N/A,TRUE,"5th";#N/A,#N/A,TRUE,"6th";#N/A,#N/A,TRUE,"deffee";#N/A,#N/A,TRUE,"lnsum";#N/A,#N/A,TRUE,"depr";#N/A,#N/A,TRUE,"funded";#N/A,#N/A,TRUE,"residual";#N/A,#N/A,TRUE,"fedtc";#N/A,#N/A,TRUE,"statetc";#N/A,#N/A,TRUE,"mingain";#N/A,#N/A,TRUE,"mtdata1";#N/A,#N/A,TRUE,"mtsource";#N/A,#N/A,TRUE,"noi";#N/A,#N/A,TRUE,"base";#N/A,#N/A,TRUE,"mtcash";#N/A,#N/A,TRUE,"-3%";#N/A,#N/A,TRUE,"mttax";#N/A,#N/A,TRUE,"mtben";#N/A,#N/A,TRUE,"mtopresv";#N/A,#N/A,TRUE,"tcamort";#N/A,#N/A,TRUE,"mtdepc";#N/A,#N/A,TRUE,"sale";#N/A,#N/A,TRUE,"Qirr";#N/A,#N/A,TRUE,"mingainMT"}</definedName>
    <definedName name="wvu.EXPENSES." localSheetId="7" hidden="1">{TRUE,TRUE,13.75,7,453,285,FALSE,TRUE,TRUE,TRUE,0,1,#N/A,202,#N/A,7.58333333333333,25.1538461538462,1,FALSE,FALSE,1,TRUE,1,FALSE,65,"Swvu.EXPENSES.","ACwvu.EXPENSES.",#N/A,FALSE,FALSE,0.75,0.75,1,1,1,"","",FALSE,FALSE,FALSE,TRUE,1,100,#N/A,#N/A,FALSE,FALSE,#N/A,#N/A,FALSE,FALSE,FALSE,1,300,300,FALSE,FALSE,TRUE,TRUE,TRUE}</definedName>
    <definedName name="wvu.EXPENSES." localSheetId="8" hidden="1">{TRUE,TRUE,13.75,7,453,285,FALSE,TRUE,TRUE,TRUE,0,1,#N/A,202,#N/A,7.58333333333333,25.1538461538462,1,FALSE,FALSE,1,TRUE,1,FALSE,65,"Swvu.EXPENSES.","ACwvu.EXPENSES.",#N/A,FALSE,FALSE,0.75,0.75,1,1,1,"","",FALSE,FALSE,FALSE,TRUE,1,100,#N/A,#N/A,FALSE,FALSE,#N/A,#N/A,FALSE,FALSE,FALSE,1,300,300,FALSE,FALSE,TRUE,TRUE,TRUE}</definedName>
    <definedName name="y"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ed" localSheetId="2"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ed" localSheetId="1"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ed" localSheetId="4"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ed" localSheetId="0"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 name="yed" hidden="1">{#N/A,#N/A,TRUE,"toc";#N/A,#N/A,TRUE,"data1";#N/A,#N/A,TRUE,"financing";#N/A,#N/A,TRUE,"source";#N/A,#N/A,TRUE,"atrisk";#N/A,#N/A,TRUE,"cash";#N/A,#N/A,TRUE,"-3%state";#N/A,#N/A,TRUE,"tax";#N/A,#N/A,TRUE,"ben";#N/A,#N/A,TRUE,"ben-altmin";#N/A,#N/A,TRUE,"ln3";#N/A,#N/A,TRUE,"ln2 (2)";#N/A,#N/A,TRUE,"mht";#N/A,#N/A,TRUE,"cda2";#N/A,#N/A,TRUE,"lnsum";#N/A,#N/A,TRUE,"rep";#N/A,#N/A,TRUE,"depr";#N/A,#N/A,TRUE,"mtdepc";#N/A,#N/A,TRUE,"funded";#N/A,#N/A,TRUE,"fedtc";#N/A,#N/A,TRUE,"statetc";#N/A,#N/A,TRUE,"mingain";#N/A,#N/A,TRUE,"mtdata1";#N/A,#N/A,TRUE,"mtsource";#N/A,#N/A,TRUE,"mtop";#N/A,#N/A,TRUE,"noi";#N/A,#N/A,TRUE,"base";#N/A,#N/A,TRUE,"mtcash";#N/A,#N/A,TRUE,"-3%";#N/A,#N/A,TRUE,"mttax";#N/A,#N/A,TRUE,"mtben";#N/A,#N/A,TRUE,"sale";#N/A,#N/A,TRUE,"ti";#N/A,#N/A,TRUE,"tcamort";#N/A,#N/A,TRUE,"mingainMT";#N/A,#N/A,TRUE,"Qirr"}</definedName>
  </definedNames>
  <calcPr calcId="191028" iterate="1"/>
  <customWorkbookViews>
    <customWorkbookView name="EXPENSES (uses)" guid="{CA59FD88-8CCB-11D1-BF5F-0000C0DA655A}" xWindow="22" yWindow="37" windowWidth="594" windowHeight="346" tabRatio="691"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9" i="7" l="1"/>
  <c r="B135" i="7"/>
  <c r="B144" i="7"/>
  <c r="B152" i="7"/>
  <c r="D16" i="5"/>
  <c r="E16" i="5"/>
  <c r="F16" i="5"/>
  <c r="G16" i="5"/>
  <c r="H16" i="5"/>
  <c r="I16" i="5"/>
  <c r="J16" i="5"/>
  <c r="K16" i="5"/>
  <c r="L16" i="5"/>
  <c r="M16" i="5"/>
  <c r="N16" i="5"/>
  <c r="O16" i="5"/>
  <c r="P16" i="5"/>
  <c r="Q16" i="5"/>
  <c r="R16" i="5"/>
  <c r="S16" i="5"/>
  <c r="T16" i="5"/>
  <c r="U16" i="5"/>
  <c r="V16" i="5"/>
  <c r="W16" i="5"/>
  <c r="X16" i="5"/>
  <c r="Y16" i="5"/>
  <c r="Z16" i="5"/>
  <c r="AA16" i="5"/>
  <c r="AB16" i="5"/>
  <c r="AC16" i="5"/>
  <c r="AD16" i="5"/>
  <c r="AE16" i="5"/>
  <c r="AF16" i="5"/>
  <c r="B4" i="1"/>
  <c r="M32" i="21"/>
  <c r="N32" i="21"/>
  <c r="M31" i="21"/>
  <c r="N31" i="21"/>
  <c r="I59" i="21"/>
  <c r="H59" i="21" s="1"/>
  <c r="I60" i="21"/>
  <c r="H60" i="21" s="1"/>
  <c r="I61" i="21"/>
  <c r="H61" i="21" s="1"/>
  <c r="I62" i="21"/>
  <c r="H62" i="21" s="1"/>
  <c r="I63" i="21"/>
  <c r="H63" i="21" s="1"/>
  <c r="I64" i="21"/>
  <c r="H64" i="21" s="1"/>
  <c r="I65" i="21"/>
  <c r="H65" i="21" s="1"/>
  <c r="I30" i="21"/>
  <c r="H30" i="21" s="1"/>
  <c r="I31" i="21"/>
  <c r="H31" i="21" s="1"/>
  <c r="I32" i="21"/>
  <c r="H32" i="21" s="1"/>
  <c r="I33" i="21"/>
  <c r="H33" i="21" s="1"/>
  <c r="I34" i="21"/>
  <c r="H34" i="21" s="1"/>
  <c r="I35" i="21"/>
  <c r="H35" i="21" s="1"/>
  <c r="I36" i="21"/>
  <c r="H36" i="21" s="1"/>
  <c r="I37" i="21"/>
  <c r="H37" i="21" s="1"/>
  <c r="I38" i="21"/>
  <c r="H38" i="21" s="1"/>
  <c r="I39" i="21"/>
  <c r="H39" i="21" s="1"/>
  <c r="I40" i="21"/>
  <c r="H40" i="21" s="1"/>
  <c r="I41" i="21"/>
  <c r="H41" i="21" s="1"/>
  <c r="I42" i="21"/>
  <c r="H42" i="21" s="1"/>
  <c r="I43" i="21"/>
  <c r="H43" i="21" s="1"/>
  <c r="I44" i="21"/>
  <c r="H44" i="21" s="1"/>
  <c r="I45" i="21"/>
  <c r="H45" i="21" s="1"/>
  <c r="I46" i="21"/>
  <c r="I47" i="21"/>
  <c r="I48" i="21"/>
  <c r="H48" i="21" s="1"/>
  <c r="I49" i="21"/>
  <c r="H49" i="21" s="1"/>
  <c r="I50" i="21"/>
  <c r="H50" i="21" s="1"/>
  <c r="I51" i="21"/>
  <c r="H51" i="21" s="1"/>
  <c r="I52" i="21"/>
  <c r="H52" i="21" s="1"/>
  <c r="I53" i="21"/>
  <c r="H53" i="21" s="1"/>
  <c r="I54" i="21"/>
  <c r="H54" i="21" s="1"/>
  <c r="I55" i="21"/>
  <c r="H55" i="21" s="1"/>
  <c r="I56" i="21"/>
  <c r="H56" i="21" s="1"/>
  <c r="I57" i="21"/>
  <c r="H57" i="21" s="1"/>
  <c r="I58" i="21"/>
  <c r="H58" i="21" s="1"/>
  <c r="H46" i="21"/>
  <c r="H47" i="21"/>
  <c r="E89" i="7"/>
  <c r="H3" i="2"/>
  <c r="B23" i="6"/>
  <c r="B55" i="6"/>
  <c r="B71" i="6"/>
  <c r="B72" i="6"/>
  <c r="AI80" i="6" s="1"/>
  <c r="B70" i="6"/>
  <c r="B69" i="6"/>
  <c r="B77" i="6" s="1"/>
  <c r="B56" i="6"/>
  <c r="AO64" i="6" s="1"/>
  <c r="B54" i="6"/>
  <c r="B53" i="6"/>
  <c r="B61" i="6" s="1"/>
  <c r="A67" i="6"/>
  <c r="C76" i="6"/>
  <c r="D76" i="6" s="1"/>
  <c r="E76" i="6" s="1"/>
  <c r="F76" i="6" s="1"/>
  <c r="G76" i="6" s="1"/>
  <c r="H76" i="6" s="1"/>
  <c r="I76" i="6" s="1"/>
  <c r="J76" i="6" s="1"/>
  <c r="K76" i="6" s="1"/>
  <c r="L76" i="6" s="1"/>
  <c r="M76" i="6" s="1"/>
  <c r="N76" i="6" s="1"/>
  <c r="O76" i="6" s="1"/>
  <c r="P76" i="6" s="1"/>
  <c r="Q76" i="6" s="1"/>
  <c r="R76" i="6" s="1"/>
  <c r="S76" i="6" s="1"/>
  <c r="T76" i="6" s="1"/>
  <c r="U76" i="6" s="1"/>
  <c r="V76" i="6" s="1"/>
  <c r="W76" i="6" s="1"/>
  <c r="X76" i="6" s="1"/>
  <c r="Y76" i="6" s="1"/>
  <c r="Z76" i="6" s="1"/>
  <c r="AA76" i="6" s="1"/>
  <c r="AB76" i="6" s="1"/>
  <c r="AC76" i="6" s="1"/>
  <c r="AD76" i="6" s="1"/>
  <c r="AE76" i="6" s="1"/>
  <c r="AF76" i="6" s="1"/>
  <c r="AG76" i="6" s="1"/>
  <c r="AH76" i="6" s="1"/>
  <c r="AI76" i="6" s="1"/>
  <c r="AJ76" i="6" s="1"/>
  <c r="AK76" i="6" s="1"/>
  <c r="AL76" i="6" s="1"/>
  <c r="AM76" i="6" s="1"/>
  <c r="AN76" i="6" s="1"/>
  <c r="AO76" i="6" s="1"/>
  <c r="C60" i="6"/>
  <c r="A51" i="6"/>
  <c r="B38" i="6"/>
  <c r="B24" i="6"/>
  <c r="AH32" i="6" s="1"/>
  <c r="B22" i="6"/>
  <c r="B21" i="6"/>
  <c r="B29" i="6" s="1"/>
  <c r="B5" i="6"/>
  <c r="B13" i="6" s="1"/>
  <c r="A19" i="6"/>
  <c r="C28" i="6"/>
  <c r="D28" i="6" s="1"/>
  <c r="E28" i="6" s="1"/>
  <c r="F28" i="6" s="1"/>
  <c r="G28" i="6" s="1"/>
  <c r="H28" i="6" s="1"/>
  <c r="I28" i="6" s="1"/>
  <c r="J28" i="6" s="1"/>
  <c r="K28" i="6" s="1"/>
  <c r="L28" i="6" s="1"/>
  <c r="M28" i="6" s="1"/>
  <c r="N28" i="6" s="1"/>
  <c r="O28" i="6" s="1"/>
  <c r="P28" i="6" s="1"/>
  <c r="Q28" i="6" s="1"/>
  <c r="R28" i="6" s="1"/>
  <c r="S28" i="6" s="1"/>
  <c r="T28" i="6" s="1"/>
  <c r="U28" i="6" s="1"/>
  <c r="V28" i="6" s="1"/>
  <c r="W28" i="6" s="1"/>
  <c r="X28" i="6" s="1"/>
  <c r="Y28" i="6" s="1"/>
  <c r="Z28" i="6" s="1"/>
  <c r="AA28" i="6" s="1"/>
  <c r="AB28" i="6" s="1"/>
  <c r="AC28" i="6" s="1"/>
  <c r="AD28" i="6" s="1"/>
  <c r="AE28" i="6" s="1"/>
  <c r="AF28" i="6" s="1"/>
  <c r="AG28" i="6" s="1"/>
  <c r="AH28" i="6" s="1"/>
  <c r="AI28" i="6" s="1"/>
  <c r="AJ28" i="6" s="1"/>
  <c r="AK28" i="6" s="1"/>
  <c r="AL28" i="6" s="1"/>
  <c r="AM28" i="6" s="1"/>
  <c r="AN28" i="6" s="1"/>
  <c r="AO28" i="6" s="1"/>
  <c r="C140" i="7"/>
  <c r="F166" i="7"/>
  <c r="G166" i="7"/>
  <c r="H166" i="7"/>
  <c r="I166" i="7"/>
  <c r="J166" i="7"/>
  <c r="K166" i="7"/>
  <c r="L166" i="7"/>
  <c r="M166" i="7"/>
  <c r="N166" i="7"/>
  <c r="O166" i="7"/>
  <c r="P166" i="7"/>
  <c r="Q166" i="7"/>
  <c r="R166" i="7"/>
  <c r="S166" i="7"/>
  <c r="T166" i="7"/>
  <c r="U166" i="7"/>
  <c r="V166" i="7"/>
  <c r="W166" i="7"/>
  <c r="X166" i="7"/>
  <c r="Y166" i="7"/>
  <c r="Z166" i="7"/>
  <c r="AA166" i="7"/>
  <c r="AB166" i="7"/>
  <c r="AC166" i="7"/>
  <c r="AD166" i="7"/>
  <c r="AE166" i="7"/>
  <c r="AF166" i="7"/>
  <c r="AG166" i="7"/>
  <c r="E166" i="7"/>
  <c r="E161" i="7"/>
  <c r="F161" i="7" s="1"/>
  <c r="G161" i="7" s="1"/>
  <c r="H161" i="7" s="1"/>
  <c r="I161" i="7" s="1"/>
  <c r="J161" i="7" s="1"/>
  <c r="K161" i="7" s="1"/>
  <c r="L161" i="7" s="1"/>
  <c r="M161" i="7" s="1"/>
  <c r="N161" i="7" s="1"/>
  <c r="O161" i="7" s="1"/>
  <c r="P161" i="7" s="1"/>
  <c r="Q161" i="7" s="1"/>
  <c r="R161" i="7" s="1"/>
  <c r="S161" i="7" s="1"/>
  <c r="T161" i="7" s="1"/>
  <c r="U161" i="7" s="1"/>
  <c r="V161" i="7" s="1"/>
  <c r="W161" i="7" s="1"/>
  <c r="X161" i="7" s="1"/>
  <c r="Y161" i="7" s="1"/>
  <c r="Z161" i="7" s="1"/>
  <c r="AA161" i="7" s="1"/>
  <c r="AB161" i="7" s="1"/>
  <c r="AC161" i="7" s="1"/>
  <c r="AD161" i="7" s="1"/>
  <c r="AE161" i="7" s="1"/>
  <c r="AF161" i="7" s="1"/>
  <c r="AG161" i="7" s="1"/>
  <c r="E154" i="7"/>
  <c r="E156" i="7" s="1"/>
  <c r="F156" i="7" s="1"/>
  <c r="G156" i="7" s="1"/>
  <c r="H156" i="7" s="1"/>
  <c r="I156" i="7" s="1"/>
  <c r="J156" i="7" s="1"/>
  <c r="K156" i="7" s="1"/>
  <c r="L156" i="7" s="1"/>
  <c r="M156" i="7" s="1"/>
  <c r="N156" i="7" s="1"/>
  <c r="O156" i="7" s="1"/>
  <c r="P156" i="7" s="1"/>
  <c r="Q156" i="7" s="1"/>
  <c r="R156" i="7" s="1"/>
  <c r="S156" i="7" s="1"/>
  <c r="T156" i="7" s="1"/>
  <c r="U156" i="7" s="1"/>
  <c r="V156" i="7" s="1"/>
  <c r="W156" i="7" s="1"/>
  <c r="X156" i="7" s="1"/>
  <c r="Y156" i="7" s="1"/>
  <c r="Z156" i="7" s="1"/>
  <c r="AA156" i="7" s="1"/>
  <c r="AB156" i="7" s="1"/>
  <c r="AC156" i="7" s="1"/>
  <c r="AD156" i="7" s="1"/>
  <c r="AE156" i="7" s="1"/>
  <c r="AF156" i="7" s="1"/>
  <c r="AG156" i="7" s="1"/>
  <c r="E146" i="7"/>
  <c r="E148" i="7" s="1"/>
  <c r="F148" i="7" s="1"/>
  <c r="G148" i="7" s="1"/>
  <c r="H148" i="7" s="1"/>
  <c r="I148" i="7" s="1"/>
  <c r="J148" i="7" s="1"/>
  <c r="K148" i="7" s="1"/>
  <c r="L148" i="7" s="1"/>
  <c r="M148" i="7" s="1"/>
  <c r="N148" i="7" s="1"/>
  <c r="O148" i="7" s="1"/>
  <c r="P148" i="7" s="1"/>
  <c r="Q148" i="7" s="1"/>
  <c r="R148" i="7" s="1"/>
  <c r="S148" i="7" s="1"/>
  <c r="T148" i="7" s="1"/>
  <c r="U148" i="7" s="1"/>
  <c r="V148" i="7" s="1"/>
  <c r="W148" i="7" s="1"/>
  <c r="X148" i="7" s="1"/>
  <c r="Y148" i="7" s="1"/>
  <c r="Z148" i="7" s="1"/>
  <c r="AA148" i="7" s="1"/>
  <c r="AB148" i="7" s="1"/>
  <c r="AC148" i="7" s="1"/>
  <c r="AD148" i="7" s="1"/>
  <c r="AE148" i="7" s="1"/>
  <c r="AF148" i="7" s="1"/>
  <c r="AG148" i="7" s="1"/>
  <c r="AG89" i="7"/>
  <c r="G89" i="7"/>
  <c r="G131" i="7" s="1"/>
  <c r="F89" i="7"/>
  <c r="F131" i="7" s="1"/>
  <c r="E129" i="7"/>
  <c r="F129" i="7"/>
  <c r="G129" i="7"/>
  <c r="H129" i="7"/>
  <c r="I129" i="7"/>
  <c r="J129" i="7"/>
  <c r="K129" i="7"/>
  <c r="L129" i="7"/>
  <c r="M129" i="7"/>
  <c r="N129" i="7"/>
  <c r="O129" i="7"/>
  <c r="P129" i="7"/>
  <c r="Q129" i="7"/>
  <c r="R129" i="7"/>
  <c r="S129" i="7"/>
  <c r="T129" i="7"/>
  <c r="U129" i="7"/>
  <c r="V129" i="7"/>
  <c r="W129" i="7"/>
  <c r="X129" i="7"/>
  <c r="Y129" i="7"/>
  <c r="Z129" i="7"/>
  <c r="AA129" i="7"/>
  <c r="AB129" i="7"/>
  <c r="AC129" i="7"/>
  <c r="AD129" i="7"/>
  <c r="AE129" i="7"/>
  <c r="AF129" i="7"/>
  <c r="AG129" i="7"/>
  <c r="C157" i="7"/>
  <c r="C149" i="7"/>
  <c r="E137" i="7"/>
  <c r="E139" i="7" s="1"/>
  <c r="F139" i="7" s="1"/>
  <c r="G139" i="7" s="1"/>
  <c r="D159" i="7"/>
  <c r="D152" i="7"/>
  <c r="D144" i="7"/>
  <c r="D135" i="7"/>
  <c r="D93" i="7"/>
  <c r="D94" i="7"/>
  <c r="D95" i="7"/>
  <c r="D96" i="7"/>
  <c r="D92" i="7"/>
  <c r="B93" i="7"/>
  <c r="B94" i="7"/>
  <c r="B95" i="7"/>
  <c r="B96" i="7"/>
  <c r="B92" i="7"/>
  <c r="K4" i="2"/>
  <c r="L4" i="2"/>
  <c r="I4" i="2"/>
  <c r="L93" i="2"/>
  <c r="I93" i="2"/>
  <c r="L3" i="2"/>
  <c r="K3" i="2"/>
  <c r="J3" i="2"/>
  <c r="I3" i="2"/>
  <c r="E131" i="7" l="1"/>
  <c r="AG131" i="7"/>
  <c r="AG167" i="7" s="1"/>
  <c r="E163" i="7"/>
  <c r="F163" i="7" s="1"/>
  <c r="G163" i="7" s="1"/>
  <c r="H163" i="7" s="1"/>
  <c r="I163" i="7" s="1"/>
  <c r="J163" i="7" s="1"/>
  <c r="K163" i="7" s="1"/>
  <c r="L163" i="7" s="1"/>
  <c r="M163" i="7" s="1"/>
  <c r="N163" i="7" s="1"/>
  <c r="O163" i="7" s="1"/>
  <c r="P163" i="7" s="1"/>
  <c r="Q163" i="7" s="1"/>
  <c r="R163" i="7" s="1"/>
  <c r="S163" i="7" s="1"/>
  <c r="T163" i="7" s="1"/>
  <c r="U163" i="7" s="1"/>
  <c r="V163" i="7" s="1"/>
  <c r="W163" i="7" s="1"/>
  <c r="X163" i="7" s="1"/>
  <c r="Y163" i="7" s="1"/>
  <c r="Z163" i="7" s="1"/>
  <c r="AA163" i="7" s="1"/>
  <c r="AB163" i="7" s="1"/>
  <c r="AC163" i="7" s="1"/>
  <c r="AD163" i="7" s="1"/>
  <c r="AE163" i="7" s="1"/>
  <c r="AF163" i="7" s="1"/>
  <c r="AG163" i="7" s="1"/>
  <c r="F167" i="7"/>
  <c r="G167" i="7"/>
  <c r="D80" i="6"/>
  <c r="C80" i="6"/>
  <c r="AL62" i="6"/>
  <c r="AK62" i="6"/>
  <c r="AJ62" i="6"/>
  <c r="AJ64" i="6"/>
  <c r="AH64" i="6"/>
  <c r="AG64" i="6"/>
  <c r="AK64" i="6"/>
  <c r="I94" i="2"/>
  <c r="L94" i="2"/>
  <c r="AJ78" i="6"/>
  <c r="AI62" i="6"/>
  <c r="AH62" i="6"/>
  <c r="AJ30" i="6"/>
  <c r="AI78" i="6"/>
  <c r="AH80" i="6"/>
  <c r="AI64" i="6"/>
  <c r="AH78" i="6"/>
  <c r="AO80" i="6"/>
  <c r="AG80" i="6"/>
  <c r="AN80" i="6"/>
  <c r="AN78" i="6"/>
  <c r="AF78" i="6"/>
  <c r="AM80" i="6"/>
  <c r="AG78" i="6"/>
  <c r="AO62" i="6"/>
  <c r="AG62" i="6"/>
  <c r="AN64" i="6"/>
  <c r="AF64" i="6"/>
  <c r="AM78" i="6"/>
  <c r="AE78" i="6"/>
  <c r="AL80" i="6"/>
  <c r="AO78" i="6"/>
  <c r="AF80" i="6"/>
  <c r="AN62" i="6"/>
  <c r="AF62" i="6"/>
  <c r="AM64" i="6"/>
  <c r="AL78" i="6"/>
  <c r="AK80" i="6"/>
  <c r="AM62" i="6"/>
  <c r="AE62" i="6"/>
  <c r="AL64" i="6"/>
  <c r="AK78" i="6"/>
  <c r="E78" i="6"/>
  <c r="AJ80" i="6"/>
  <c r="B57" i="6"/>
  <c r="X62" i="6" s="1"/>
  <c r="AI30" i="6"/>
  <c r="AO32" i="6"/>
  <c r="AG32" i="6"/>
  <c r="AN32" i="6"/>
  <c r="AF32" i="6"/>
  <c r="AO30" i="6"/>
  <c r="AN30" i="6"/>
  <c r="AM30" i="6"/>
  <c r="AE30" i="6"/>
  <c r="AK32" i="6"/>
  <c r="AM32" i="6"/>
  <c r="AF30" i="6"/>
  <c r="AL32" i="6"/>
  <c r="AL30" i="6"/>
  <c r="AJ32" i="6"/>
  <c r="AH30" i="6"/>
  <c r="AG30" i="6"/>
  <c r="AK30" i="6"/>
  <c r="AI32" i="6"/>
  <c r="B25" i="6"/>
  <c r="P30" i="6" s="1"/>
  <c r="B73" i="6"/>
  <c r="H78" i="6" s="1"/>
  <c r="D60" i="6"/>
  <c r="I149" i="7"/>
  <c r="F149" i="7"/>
  <c r="J149" i="7"/>
  <c r="AA149" i="7"/>
  <c r="S149" i="7"/>
  <c r="R149" i="7"/>
  <c r="L149" i="7"/>
  <c r="K149" i="7"/>
  <c r="H157" i="7"/>
  <c r="P157" i="7"/>
  <c r="AE157" i="7"/>
  <c r="W157" i="7"/>
  <c r="O157" i="7"/>
  <c r="G157" i="7"/>
  <c r="AD157" i="7"/>
  <c r="V157" i="7"/>
  <c r="N157" i="7"/>
  <c r="AC157" i="7"/>
  <c r="U157" i="7"/>
  <c r="M157" i="7"/>
  <c r="AF157" i="7"/>
  <c r="AB157" i="7"/>
  <c r="T157" i="7"/>
  <c r="L157" i="7"/>
  <c r="X157" i="7"/>
  <c r="AA157" i="7"/>
  <c r="S157" i="7"/>
  <c r="K157" i="7"/>
  <c r="F157" i="7"/>
  <c r="Z157" i="7"/>
  <c r="R157" i="7"/>
  <c r="J157" i="7"/>
  <c r="AG157" i="7"/>
  <c r="Y157" i="7"/>
  <c r="Q157" i="7"/>
  <c r="I157" i="7"/>
  <c r="AB149" i="7"/>
  <c r="T149" i="7"/>
  <c r="Z149" i="7"/>
  <c r="Q149" i="7"/>
  <c r="AG149" i="7"/>
  <c r="AF149" i="7"/>
  <c r="X149" i="7"/>
  <c r="P149" i="7"/>
  <c r="H149" i="7"/>
  <c r="Y149" i="7"/>
  <c r="AE149" i="7"/>
  <c r="W149" i="7"/>
  <c r="O149" i="7"/>
  <c r="G149" i="7"/>
  <c r="AD149" i="7"/>
  <c r="V149" i="7"/>
  <c r="N149" i="7"/>
  <c r="AC149" i="7"/>
  <c r="U149" i="7"/>
  <c r="M149" i="7"/>
  <c r="F140" i="7"/>
  <c r="E167" i="7"/>
  <c r="F137" i="7"/>
  <c r="G137" i="7" s="1"/>
  <c r="H137" i="7" s="1"/>
  <c r="I137" i="7" s="1"/>
  <c r="J137" i="7" s="1"/>
  <c r="K137" i="7" s="1"/>
  <c r="L137" i="7" s="1"/>
  <c r="M137" i="7" s="1"/>
  <c r="N137" i="7" s="1"/>
  <c r="O137" i="7" s="1"/>
  <c r="P137" i="7" s="1"/>
  <c r="Q137" i="7" s="1"/>
  <c r="R137" i="7" s="1"/>
  <c r="S137" i="7" s="1"/>
  <c r="T137" i="7" s="1"/>
  <c r="U137" i="7" s="1"/>
  <c r="V137" i="7" s="1"/>
  <c r="W137" i="7" s="1"/>
  <c r="X137" i="7" s="1"/>
  <c r="Y137" i="7" s="1"/>
  <c r="Z137" i="7" s="1"/>
  <c r="AA137" i="7" s="1"/>
  <c r="AB137" i="7" s="1"/>
  <c r="AC137" i="7" s="1"/>
  <c r="AD137" i="7" s="1"/>
  <c r="AE137" i="7" s="1"/>
  <c r="AF137" i="7" s="1"/>
  <c r="AG137" i="7" s="1"/>
  <c r="F146" i="7"/>
  <c r="G146" i="7" s="1"/>
  <c r="H146" i="7" s="1"/>
  <c r="I146" i="7" s="1"/>
  <c r="J146" i="7" s="1"/>
  <c r="K146" i="7" s="1"/>
  <c r="L146" i="7" s="1"/>
  <c r="M146" i="7" s="1"/>
  <c r="N146" i="7" s="1"/>
  <c r="O146" i="7" s="1"/>
  <c r="P146" i="7" s="1"/>
  <c r="Q146" i="7" s="1"/>
  <c r="R146" i="7" s="1"/>
  <c r="S146" i="7" s="1"/>
  <c r="T146" i="7" s="1"/>
  <c r="U146" i="7" s="1"/>
  <c r="V146" i="7" s="1"/>
  <c r="W146" i="7" s="1"/>
  <c r="X146" i="7" s="1"/>
  <c r="Y146" i="7" s="1"/>
  <c r="Z146" i="7" s="1"/>
  <c r="AA146" i="7" s="1"/>
  <c r="AB146" i="7" s="1"/>
  <c r="AC146" i="7" s="1"/>
  <c r="AD146" i="7" s="1"/>
  <c r="AE146" i="7" s="1"/>
  <c r="AF146" i="7" s="1"/>
  <c r="AG146" i="7" s="1"/>
  <c r="F154" i="7"/>
  <c r="G154" i="7" s="1"/>
  <c r="H154" i="7" s="1"/>
  <c r="I154" i="7" s="1"/>
  <c r="J154" i="7" s="1"/>
  <c r="K154" i="7" s="1"/>
  <c r="L154" i="7" s="1"/>
  <c r="M154" i="7" s="1"/>
  <c r="N154" i="7" s="1"/>
  <c r="O154" i="7" s="1"/>
  <c r="P154" i="7" s="1"/>
  <c r="Q154" i="7" s="1"/>
  <c r="R154" i="7" s="1"/>
  <c r="S154" i="7" s="1"/>
  <c r="T154" i="7" s="1"/>
  <c r="U154" i="7" s="1"/>
  <c r="V154" i="7" s="1"/>
  <c r="W154" i="7" s="1"/>
  <c r="X154" i="7" s="1"/>
  <c r="Y154" i="7" s="1"/>
  <c r="Z154" i="7" s="1"/>
  <c r="AA154" i="7" s="1"/>
  <c r="AB154" i="7" s="1"/>
  <c r="AC154" i="7" s="1"/>
  <c r="AD154" i="7" s="1"/>
  <c r="AE154" i="7" s="1"/>
  <c r="AF154" i="7" s="1"/>
  <c r="AG154" i="7" s="1"/>
  <c r="Y78" i="6" l="1"/>
  <c r="AD78" i="6"/>
  <c r="Q62" i="6"/>
  <c r="D62" i="6"/>
  <c r="W62" i="6"/>
  <c r="H62" i="6"/>
  <c r="I62" i="6"/>
  <c r="M78" i="6"/>
  <c r="U78" i="6"/>
  <c r="D78" i="6"/>
  <c r="L78" i="6"/>
  <c r="T78" i="6"/>
  <c r="AB78" i="6"/>
  <c r="P78" i="6"/>
  <c r="P62" i="6"/>
  <c r="O78" i="6"/>
  <c r="Y62" i="6"/>
  <c r="X78" i="6"/>
  <c r="R78" i="6"/>
  <c r="K78" i="6"/>
  <c r="F78" i="6"/>
  <c r="W78" i="6"/>
  <c r="Z78" i="6"/>
  <c r="S78" i="6"/>
  <c r="Q78" i="6"/>
  <c r="L62" i="6"/>
  <c r="Z62" i="6"/>
  <c r="AA62" i="6"/>
  <c r="N62" i="6"/>
  <c r="AB62" i="6"/>
  <c r="C62" i="6"/>
  <c r="R62" i="6"/>
  <c r="AC62" i="6"/>
  <c r="E62" i="6"/>
  <c r="S62" i="6"/>
  <c r="AD62" i="6"/>
  <c r="J62" i="6"/>
  <c r="F62" i="6"/>
  <c r="T62" i="6"/>
  <c r="K62" i="6"/>
  <c r="V62" i="6"/>
  <c r="M62" i="6"/>
  <c r="U62" i="6"/>
  <c r="G62" i="6"/>
  <c r="N78" i="6"/>
  <c r="AA78" i="6"/>
  <c r="AC78" i="6"/>
  <c r="G78" i="6"/>
  <c r="J78" i="6"/>
  <c r="O62" i="6"/>
  <c r="V78" i="6"/>
  <c r="I78" i="6"/>
  <c r="C78" i="6"/>
  <c r="C30" i="6"/>
  <c r="AD30" i="6"/>
  <c r="AC30" i="6"/>
  <c r="V30" i="6"/>
  <c r="D30" i="6"/>
  <c r="I30" i="6"/>
  <c r="Q30" i="6"/>
  <c r="B58" i="6"/>
  <c r="B62" i="6"/>
  <c r="B63" i="6" s="1"/>
  <c r="G30" i="6"/>
  <c r="O30" i="6"/>
  <c r="B74" i="6"/>
  <c r="B78" i="6"/>
  <c r="B79" i="6" s="1"/>
  <c r="E30" i="6"/>
  <c r="L30" i="6"/>
  <c r="AB30" i="6"/>
  <c r="T30" i="6"/>
  <c r="W30" i="6"/>
  <c r="Z30" i="6"/>
  <c r="K30" i="6"/>
  <c r="R30" i="6"/>
  <c r="S30" i="6"/>
  <c r="AA30" i="6"/>
  <c r="M30" i="6"/>
  <c r="F30" i="6"/>
  <c r="H30" i="6"/>
  <c r="U30" i="6"/>
  <c r="N30" i="6"/>
  <c r="Y30" i="6"/>
  <c r="X30" i="6"/>
  <c r="J30" i="6"/>
  <c r="B30" i="6"/>
  <c r="B31" i="6" s="1"/>
  <c r="B26" i="6"/>
  <c r="E60" i="6"/>
  <c r="G140" i="7"/>
  <c r="B80" i="6" l="1"/>
  <c r="B81" i="6" s="1"/>
  <c r="B32" i="6"/>
  <c r="B33" i="6" s="1"/>
  <c r="B64" i="6"/>
  <c r="B65" i="6" s="1"/>
  <c r="F60" i="6"/>
  <c r="H140" i="7"/>
  <c r="G60" i="6" l="1"/>
  <c r="H139" i="7"/>
  <c r="I140" i="7" s="1"/>
  <c r="H60" i="6" l="1"/>
  <c r="I139" i="7"/>
  <c r="J139" i="7" s="1"/>
  <c r="I60" i="6" l="1"/>
  <c r="J140" i="7"/>
  <c r="K139" i="7"/>
  <c r="K140" i="7"/>
  <c r="J60" i="6" l="1"/>
  <c r="L139" i="7"/>
  <c r="L140" i="7"/>
  <c r="K60" i="6" l="1"/>
  <c r="M139" i="7"/>
  <c r="M140" i="7"/>
  <c r="L60" i="6" l="1"/>
  <c r="N139" i="7"/>
  <c r="N140" i="7"/>
  <c r="M60" i="6" l="1"/>
  <c r="O139" i="7"/>
  <c r="O140" i="7"/>
  <c r="N60" i="6" l="1"/>
  <c r="P139" i="7"/>
  <c r="P140" i="7"/>
  <c r="O60" i="6" l="1"/>
  <c r="Q139" i="7"/>
  <c r="Q140" i="7"/>
  <c r="P60" i="6" l="1"/>
  <c r="R139" i="7"/>
  <c r="R140" i="7"/>
  <c r="Q60" i="6" l="1"/>
  <c r="S139" i="7"/>
  <c r="S140" i="7"/>
  <c r="R60" i="6" l="1"/>
  <c r="T139" i="7"/>
  <c r="T140" i="7"/>
  <c r="S60" i="6" l="1"/>
  <c r="U139" i="7"/>
  <c r="U140" i="7"/>
  <c r="T60" i="6" l="1"/>
  <c r="V139" i="7"/>
  <c r="V140" i="7"/>
  <c r="U60" i="6" l="1"/>
  <c r="W139" i="7"/>
  <c r="W140" i="7"/>
  <c r="V60" i="6" l="1"/>
  <c r="X139" i="7"/>
  <c r="X140" i="7"/>
  <c r="W60" i="6" l="1"/>
  <c r="Y139" i="7"/>
  <c r="Y140" i="7"/>
  <c r="X60" i="6" l="1"/>
  <c r="Z139" i="7"/>
  <c r="Z140" i="7"/>
  <c r="Y60" i="6" l="1"/>
  <c r="AA139" i="7"/>
  <c r="AA140" i="7"/>
  <c r="Z60" i="6" l="1"/>
  <c r="AB139" i="7"/>
  <c r="AB140" i="7"/>
  <c r="AA60" i="6" l="1"/>
  <c r="AC139" i="7"/>
  <c r="AC140" i="7"/>
  <c r="AB60" i="6" l="1"/>
  <c r="AD139" i="7"/>
  <c r="AD140" i="7"/>
  <c r="AC60" i="6" l="1"/>
  <c r="AE139" i="7"/>
  <c r="AE140" i="7"/>
  <c r="AD60" i="6" l="1"/>
  <c r="AF139" i="7"/>
  <c r="AF140" i="7"/>
  <c r="AE60" i="6" l="1"/>
  <c r="AG139" i="7"/>
  <c r="AG140" i="7"/>
  <c r="AF60" i="6" l="1"/>
  <c r="A35" i="6"/>
  <c r="B37" i="6"/>
  <c r="B39" i="6"/>
  <c r="B40" i="6"/>
  <c r="C44" i="6"/>
  <c r="D44" i="6" s="1"/>
  <c r="B58" i="1"/>
  <c r="C24" i="1"/>
  <c r="C25" i="1"/>
  <c r="C22" i="1"/>
  <c r="C23" i="1"/>
  <c r="C21" i="1"/>
  <c r="C69" i="1"/>
  <c r="D3" i="20"/>
  <c r="E3" i="20"/>
  <c r="F3" i="20"/>
  <c r="G3" i="20"/>
  <c r="B3" i="20" s="1"/>
  <c r="D4" i="20"/>
  <c r="E4" i="20"/>
  <c r="F4" i="20"/>
  <c r="G4" i="20"/>
  <c r="B4" i="20" s="1"/>
  <c r="B5" i="20"/>
  <c r="D5" i="20"/>
  <c r="E5" i="20"/>
  <c r="F5" i="20"/>
  <c r="G5" i="20"/>
  <c r="C5" i="20" s="1"/>
  <c r="A5" i="20" s="1"/>
  <c r="D6" i="20"/>
  <c r="E6" i="20"/>
  <c r="F6" i="20"/>
  <c r="G6" i="20"/>
  <c r="C6" i="20" s="1"/>
  <c r="D7" i="20"/>
  <c r="E7" i="20"/>
  <c r="F7" i="20"/>
  <c r="G7" i="20"/>
  <c r="B7" i="20" s="1"/>
  <c r="D8" i="20"/>
  <c r="E8" i="20"/>
  <c r="F8" i="20"/>
  <c r="G8" i="20"/>
  <c r="B8" i="20" s="1"/>
  <c r="B9" i="20"/>
  <c r="D9" i="20"/>
  <c r="E9" i="20"/>
  <c r="F9" i="20"/>
  <c r="G9" i="20"/>
  <c r="C9" i="20" s="1"/>
  <c r="D10" i="20"/>
  <c r="E10" i="20"/>
  <c r="F10" i="20"/>
  <c r="G10" i="20"/>
  <c r="B10" i="20" s="1"/>
  <c r="D11" i="20"/>
  <c r="E11" i="20"/>
  <c r="F11" i="20"/>
  <c r="G11" i="20"/>
  <c r="B11" i="20" s="1"/>
  <c r="D12" i="20"/>
  <c r="E12" i="20"/>
  <c r="F12" i="20"/>
  <c r="G12" i="20"/>
  <c r="B12" i="20" s="1"/>
  <c r="B13" i="20"/>
  <c r="C13" i="20"/>
  <c r="D13" i="20"/>
  <c r="E13" i="20"/>
  <c r="F13" i="20"/>
  <c r="G13" i="20"/>
  <c r="D14" i="20"/>
  <c r="E14" i="20"/>
  <c r="F14" i="20"/>
  <c r="G14" i="20"/>
  <c r="B14" i="20" s="1"/>
  <c r="D15" i="20"/>
  <c r="E15" i="20"/>
  <c r="F15" i="20"/>
  <c r="G15" i="20"/>
  <c r="B15" i="20" s="1"/>
  <c r="D16" i="20"/>
  <c r="E16" i="20"/>
  <c r="F16" i="20"/>
  <c r="G16" i="20"/>
  <c r="B16" i="20" s="1"/>
  <c r="B17" i="20"/>
  <c r="D17" i="20"/>
  <c r="E17" i="20"/>
  <c r="F17" i="20"/>
  <c r="G17" i="20"/>
  <c r="C17" i="20" s="1"/>
  <c r="D18" i="20"/>
  <c r="E18" i="20"/>
  <c r="F18" i="20"/>
  <c r="G18" i="20"/>
  <c r="B18" i="20" s="1"/>
  <c r="D19" i="20"/>
  <c r="E19" i="20"/>
  <c r="F19" i="20"/>
  <c r="G19" i="20"/>
  <c r="B19" i="20" s="1"/>
  <c r="D20" i="20"/>
  <c r="E20" i="20"/>
  <c r="F20" i="20"/>
  <c r="G20" i="20"/>
  <c r="B20" i="20" s="1"/>
  <c r="B21" i="20"/>
  <c r="D21" i="20"/>
  <c r="E21" i="20"/>
  <c r="F21" i="20"/>
  <c r="G21" i="20"/>
  <c r="C21" i="20" s="1"/>
  <c r="D22" i="20"/>
  <c r="E22" i="20"/>
  <c r="F22" i="20"/>
  <c r="G22" i="20"/>
  <c r="B22" i="20" s="1"/>
  <c r="D23" i="20"/>
  <c r="E23" i="20"/>
  <c r="F23" i="20"/>
  <c r="G23" i="20"/>
  <c r="B23" i="20" s="1"/>
  <c r="D24" i="20"/>
  <c r="E24" i="20"/>
  <c r="F24" i="20"/>
  <c r="G24" i="20"/>
  <c r="B24" i="20" s="1"/>
  <c r="B25" i="20"/>
  <c r="D25" i="20"/>
  <c r="E25" i="20"/>
  <c r="F25" i="20"/>
  <c r="G25" i="20"/>
  <c r="C25" i="20" s="1"/>
  <c r="A25" i="20" s="1"/>
  <c r="D26" i="20"/>
  <c r="E26" i="20"/>
  <c r="F26" i="20"/>
  <c r="G26" i="20"/>
  <c r="B26" i="20" s="1"/>
  <c r="D27" i="20"/>
  <c r="E27" i="20"/>
  <c r="F27" i="20"/>
  <c r="G27" i="20"/>
  <c r="B27" i="20" s="1"/>
  <c r="D28" i="20"/>
  <c r="E28" i="20"/>
  <c r="F28" i="20"/>
  <c r="G28" i="20"/>
  <c r="B28" i="20" s="1"/>
  <c r="B29" i="20"/>
  <c r="D29" i="20"/>
  <c r="E29" i="20"/>
  <c r="F29" i="20"/>
  <c r="G29" i="20"/>
  <c r="C29" i="20" s="1"/>
  <c r="D30" i="20"/>
  <c r="E30" i="20"/>
  <c r="F30" i="20"/>
  <c r="G30" i="20"/>
  <c r="B30" i="20" s="1"/>
  <c r="D31" i="20"/>
  <c r="E31" i="20"/>
  <c r="F31" i="20"/>
  <c r="G31" i="20"/>
  <c r="B31" i="20" s="1"/>
  <c r="B32" i="20"/>
  <c r="D32" i="20"/>
  <c r="E32" i="20"/>
  <c r="F32" i="20"/>
  <c r="G32" i="20"/>
  <c r="C32" i="20" s="1"/>
  <c r="D33" i="20"/>
  <c r="E33" i="20"/>
  <c r="F33" i="20"/>
  <c r="D34" i="20"/>
  <c r="E34" i="20"/>
  <c r="F34" i="20"/>
  <c r="D35" i="20"/>
  <c r="E35" i="20"/>
  <c r="F35" i="20"/>
  <c r="D36" i="20"/>
  <c r="E36" i="20"/>
  <c r="F36" i="20"/>
  <c r="B37" i="20"/>
  <c r="D37" i="20"/>
  <c r="E37" i="20"/>
  <c r="F37" i="20"/>
  <c r="G37" i="20"/>
  <c r="C37" i="20" s="1"/>
  <c r="D38" i="20"/>
  <c r="E38" i="20"/>
  <c r="F38" i="20"/>
  <c r="G38" i="20"/>
  <c r="C38" i="20" s="1"/>
  <c r="D39" i="20"/>
  <c r="E39" i="20"/>
  <c r="F39" i="20"/>
  <c r="G39" i="20"/>
  <c r="B39" i="20" s="1"/>
  <c r="B40" i="20"/>
  <c r="D40" i="20"/>
  <c r="E40" i="20"/>
  <c r="F40" i="20"/>
  <c r="G40" i="20"/>
  <c r="C40" i="20" s="1"/>
  <c r="B41" i="20"/>
  <c r="D41" i="20"/>
  <c r="E41" i="20"/>
  <c r="F41" i="20"/>
  <c r="G41" i="20"/>
  <c r="C41" i="20" s="1"/>
  <c r="A41" i="20" s="1"/>
  <c r="D42" i="20"/>
  <c r="E42" i="20"/>
  <c r="F42" i="20"/>
  <c r="G42" i="20"/>
  <c r="B42" i="20" s="1"/>
  <c r="D43" i="20"/>
  <c r="E43" i="20"/>
  <c r="F43" i="20"/>
  <c r="G43" i="20"/>
  <c r="B43" i="20" s="1"/>
  <c r="B44" i="20"/>
  <c r="D44" i="20"/>
  <c r="E44" i="20"/>
  <c r="F44" i="20"/>
  <c r="G44" i="20"/>
  <c r="C44" i="20" s="1"/>
  <c r="B45" i="20"/>
  <c r="D45" i="20"/>
  <c r="E45" i="20"/>
  <c r="F45" i="20"/>
  <c r="G45" i="20"/>
  <c r="C45" i="20" s="1"/>
  <c r="D46" i="20"/>
  <c r="E46" i="20"/>
  <c r="F46" i="20"/>
  <c r="G46" i="20"/>
  <c r="B46" i="20" s="1"/>
  <c r="D47" i="20"/>
  <c r="E47" i="20"/>
  <c r="F47" i="20"/>
  <c r="G47" i="20"/>
  <c r="B47" i="20" s="1"/>
  <c r="B48" i="20"/>
  <c r="D48" i="20"/>
  <c r="E48" i="20"/>
  <c r="F48" i="20"/>
  <c r="G48" i="20"/>
  <c r="C48" i="20" s="1"/>
  <c r="A48" i="20" s="1"/>
  <c r="B49" i="20"/>
  <c r="D49" i="20"/>
  <c r="E49" i="20"/>
  <c r="F49" i="20"/>
  <c r="G49" i="20"/>
  <c r="C49" i="20" s="1"/>
  <c r="D50" i="20"/>
  <c r="E50" i="20"/>
  <c r="F50" i="20"/>
  <c r="G50" i="20"/>
  <c r="C50" i="20" s="1"/>
  <c r="A50" i="20" s="1"/>
  <c r="B51" i="20"/>
  <c r="C51" i="20"/>
  <c r="A51" i="20" s="1"/>
  <c r="D51" i="20"/>
  <c r="E51" i="20"/>
  <c r="F51" i="20"/>
  <c r="G51" i="20"/>
  <c r="B52" i="20"/>
  <c r="C52" i="20"/>
  <c r="D52" i="20"/>
  <c r="E52" i="20"/>
  <c r="A52" i="20" s="1"/>
  <c r="F52" i="20"/>
  <c r="G52" i="20"/>
  <c r="B2" i="20"/>
  <c r="C2" i="20"/>
  <c r="A2" i="20" s="1"/>
  <c r="D2" i="20"/>
  <c r="E2" i="20"/>
  <c r="F2" i="20"/>
  <c r="G2" i="20"/>
  <c r="AG60" i="6" l="1"/>
  <c r="B41" i="6"/>
  <c r="B42" i="6" s="1"/>
  <c r="B45" i="6"/>
  <c r="E44" i="6"/>
  <c r="A40" i="20"/>
  <c r="A45" i="20"/>
  <c r="A38" i="20"/>
  <c r="A13" i="20"/>
  <c r="A9" i="20"/>
  <c r="A29" i="20"/>
  <c r="A21" i="20"/>
  <c r="A37" i="20"/>
  <c r="A44" i="20"/>
  <c r="A32" i="20"/>
  <c r="A17" i="20"/>
  <c r="A6" i="20"/>
  <c r="A49" i="20"/>
  <c r="C46" i="20"/>
  <c r="A46" i="20" s="1"/>
  <c r="C42" i="20"/>
  <c r="A42" i="20" s="1"/>
  <c r="C30" i="20"/>
  <c r="A30" i="20" s="1"/>
  <c r="C26" i="20"/>
  <c r="A26" i="20" s="1"/>
  <c r="C22" i="20"/>
  <c r="A22" i="20" s="1"/>
  <c r="C18" i="20"/>
  <c r="A18" i="20" s="1"/>
  <c r="C14" i="20"/>
  <c r="A14" i="20" s="1"/>
  <c r="C10" i="20"/>
  <c r="A10" i="20" s="1"/>
  <c r="B50" i="20"/>
  <c r="C47" i="20"/>
  <c r="A47" i="20" s="1"/>
  <c r="C43" i="20"/>
  <c r="A43" i="20" s="1"/>
  <c r="C39" i="20"/>
  <c r="A39" i="20" s="1"/>
  <c r="B38" i="20"/>
  <c r="C31" i="20"/>
  <c r="A31" i="20" s="1"/>
  <c r="C27" i="20"/>
  <c r="A27" i="20" s="1"/>
  <c r="C23" i="20"/>
  <c r="A23" i="20" s="1"/>
  <c r="C19" i="20"/>
  <c r="A19" i="20" s="1"/>
  <c r="C15" i="20"/>
  <c r="A15" i="20" s="1"/>
  <c r="C11" i="20"/>
  <c r="A11" i="20" s="1"/>
  <c r="C7" i="20"/>
  <c r="A7" i="20" s="1"/>
  <c r="B6" i="20"/>
  <c r="C3" i="20"/>
  <c r="A3" i="20" s="1"/>
  <c r="C28" i="20"/>
  <c r="A28" i="20" s="1"/>
  <c r="C24" i="20"/>
  <c r="A24" i="20" s="1"/>
  <c r="C20" i="20"/>
  <c r="A20" i="20" s="1"/>
  <c r="C16" i="20"/>
  <c r="A16" i="20" s="1"/>
  <c r="C12" i="20"/>
  <c r="A12" i="20" s="1"/>
  <c r="C8" i="20"/>
  <c r="A8" i="20" s="1"/>
  <c r="C4" i="20"/>
  <c r="A4" i="20" s="1"/>
  <c r="B46" i="6" l="1" a="1"/>
  <c r="B46" i="6" s="1"/>
  <c r="C45" i="6" s="1"/>
  <c r="C46" i="6" s="1" a="1"/>
  <c r="C46" i="6" s="1"/>
  <c r="AH60" i="6"/>
  <c r="B47" i="6" a="1"/>
  <c r="B47" i="6" s="1"/>
  <c r="F44" i="6"/>
  <c r="AW96" i="23"/>
  <c r="AV96" i="23"/>
  <c r="AX96" i="23" s="1"/>
  <c r="BC96" i="23" s="1"/>
  <c r="AT96" i="23" a="1"/>
  <c r="AT96" i="23" s="1"/>
  <c r="AU96" i="23" s="1"/>
  <c r="AR96" i="23"/>
  <c r="AN96" i="23"/>
  <c r="AL96" i="23"/>
  <c r="AW95" i="23"/>
  <c r="AV95" i="23"/>
  <c r="AT95" i="23" a="1"/>
  <c r="AT95" i="23" s="1"/>
  <c r="AR95" i="23"/>
  <c r="AN95" i="23"/>
  <c r="AW94" i="23"/>
  <c r="AV94" i="23"/>
  <c r="AT94" i="23" a="1"/>
  <c r="AT94" i="23" s="1"/>
  <c r="AR94" i="23"/>
  <c r="AN94" i="23"/>
  <c r="AW93" i="23"/>
  <c r="AV93" i="23"/>
  <c r="AT93" i="23" a="1"/>
  <c r="AT93" i="23" s="1"/>
  <c r="AR93" i="23"/>
  <c r="AN93" i="23"/>
  <c r="AW92" i="23"/>
  <c r="AV92" i="23"/>
  <c r="AT92" i="23" a="1"/>
  <c r="AT92" i="23" s="1"/>
  <c r="AR92" i="23"/>
  <c r="AN92" i="23"/>
  <c r="AW91" i="23"/>
  <c r="AV91" i="23"/>
  <c r="AT91" i="23" a="1"/>
  <c r="AT91" i="23" s="1"/>
  <c r="AR91" i="23"/>
  <c r="AN91" i="23"/>
  <c r="AW90" i="23"/>
  <c r="AV90" i="23"/>
  <c r="AT90" i="23" a="1"/>
  <c r="AT90" i="23" s="1"/>
  <c r="AR90" i="23"/>
  <c r="AN90" i="23"/>
  <c r="AW89" i="23"/>
  <c r="AV89" i="23"/>
  <c r="AT89" i="23" a="1"/>
  <c r="AT89" i="23" s="1"/>
  <c r="AL89" i="23" s="1"/>
  <c r="AR89" i="23"/>
  <c r="AN89" i="23"/>
  <c r="AW88" i="23"/>
  <c r="AV88" i="23"/>
  <c r="AT88" i="23"/>
  <c r="AT88" i="23" a="1"/>
  <c r="AR88" i="23"/>
  <c r="AN88" i="23"/>
  <c r="AW87" i="23"/>
  <c r="AV87" i="23"/>
  <c r="AT87" i="23" a="1"/>
  <c r="AT87" i="23" s="1"/>
  <c r="AR87" i="23"/>
  <c r="AN87" i="23"/>
  <c r="AW86" i="23"/>
  <c r="AV86" i="23"/>
  <c r="AT86" i="23" a="1"/>
  <c r="AT86" i="23" s="1"/>
  <c r="AL86" i="23" s="1"/>
  <c r="AR86" i="23"/>
  <c r="AN86" i="23"/>
  <c r="AW85" i="23"/>
  <c r="AV85" i="23"/>
  <c r="AT85" i="23"/>
  <c r="AT85" i="23" a="1"/>
  <c r="AR85" i="23"/>
  <c r="AN85" i="23"/>
  <c r="AW84" i="23"/>
  <c r="AV84" i="23"/>
  <c r="AT84" i="23" a="1"/>
  <c r="AT84" i="23" s="1"/>
  <c r="AR84" i="23"/>
  <c r="AN84" i="23"/>
  <c r="AW83" i="23"/>
  <c r="AV83" i="23"/>
  <c r="AT83" i="23" a="1"/>
  <c r="AT83" i="23" s="1"/>
  <c r="AR83" i="23"/>
  <c r="AN83" i="23"/>
  <c r="AW82" i="23"/>
  <c r="AV82" i="23"/>
  <c r="AT82" i="23" a="1"/>
  <c r="AT82" i="23" s="1"/>
  <c r="AR82" i="23"/>
  <c r="AN82" i="23"/>
  <c r="AW81" i="23"/>
  <c r="AV81" i="23"/>
  <c r="AT81" i="23" a="1"/>
  <c r="AT81" i="23" s="1"/>
  <c r="AR81" i="23"/>
  <c r="AN81" i="23"/>
  <c r="AW80" i="23"/>
  <c r="AV80" i="23"/>
  <c r="AT80" i="23" a="1"/>
  <c r="AT80" i="23" s="1"/>
  <c r="AR80" i="23"/>
  <c r="AN80" i="23"/>
  <c r="AW79" i="23"/>
  <c r="AV79" i="23"/>
  <c r="AT79" i="23" a="1"/>
  <c r="AT79" i="23" s="1"/>
  <c r="AR79" i="23"/>
  <c r="AN79" i="23"/>
  <c r="AW78" i="23"/>
  <c r="AV78" i="23"/>
  <c r="AT78" i="23" a="1"/>
  <c r="AT78" i="23" s="1"/>
  <c r="AR78" i="23"/>
  <c r="AN78" i="23"/>
  <c r="AW77" i="23"/>
  <c r="AV77" i="23"/>
  <c r="AT77" i="23" a="1"/>
  <c r="AT77" i="23" s="1"/>
  <c r="AR77" i="23"/>
  <c r="AN77" i="23"/>
  <c r="AW76" i="23"/>
  <c r="AV76" i="23"/>
  <c r="AT76" i="23" a="1"/>
  <c r="AT76" i="23" s="1"/>
  <c r="AR76" i="23"/>
  <c r="AN76" i="23"/>
  <c r="AW75" i="23"/>
  <c r="AV75" i="23"/>
  <c r="AT75" i="23" a="1"/>
  <c r="AT75" i="23" s="1"/>
  <c r="AR75" i="23"/>
  <c r="AN75" i="23"/>
  <c r="AW74" i="23"/>
  <c r="AV74" i="23"/>
  <c r="AT74" i="23" a="1"/>
  <c r="AT74" i="23" s="1"/>
  <c r="AR74" i="23"/>
  <c r="AN74" i="23"/>
  <c r="AW73" i="23"/>
  <c r="AV73" i="23"/>
  <c r="AT73" i="23" a="1"/>
  <c r="AT73" i="23" s="1"/>
  <c r="AL73" i="23" s="1"/>
  <c r="AR73" i="23"/>
  <c r="AN73" i="23"/>
  <c r="AW72" i="23"/>
  <c r="AV72" i="23"/>
  <c r="AT72" i="23" a="1"/>
  <c r="AT72" i="23" s="1"/>
  <c r="AR72" i="23"/>
  <c r="AN72" i="23"/>
  <c r="AW71" i="23"/>
  <c r="AV71" i="23"/>
  <c r="AT71" i="23" a="1"/>
  <c r="AT71" i="23" s="1"/>
  <c r="AL71" i="23" s="1"/>
  <c r="AR71" i="23"/>
  <c r="AN71" i="23"/>
  <c r="AW70" i="23"/>
  <c r="AV70" i="23"/>
  <c r="AT70" i="23" a="1"/>
  <c r="AT70" i="23" s="1"/>
  <c r="AR70" i="23"/>
  <c r="AN70" i="23"/>
  <c r="AW69" i="23"/>
  <c r="AV69" i="23"/>
  <c r="AT69" i="23" a="1"/>
  <c r="AT69" i="23" s="1"/>
  <c r="AR69" i="23"/>
  <c r="AN69" i="23"/>
  <c r="AW68" i="23"/>
  <c r="AV68" i="23"/>
  <c r="AT68" i="23"/>
  <c r="AT68" i="23" a="1"/>
  <c r="AR68" i="23"/>
  <c r="AN68" i="23"/>
  <c r="AW67" i="23"/>
  <c r="AV67" i="23"/>
  <c r="AT67" i="23" a="1"/>
  <c r="AT67" i="23" s="1"/>
  <c r="AR67" i="23"/>
  <c r="AN67" i="23"/>
  <c r="AW66" i="23"/>
  <c r="AV66" i="23"/>
  <c r="AT66" i="23" a="1"/>
  <c r="AT66" i="23" s="1"/>
  <c r="AR66" i="23"/>
  <c r="AN66" i="23"/>
  <c r="AW65" i="23"/>
  <c r="AV65" i="23"/>
  <c r="AT65" i="23" a="1"/>
  <c r="AT65" i="23" s="1"/>
  <c r="AR65" i="23"/>
  <c r="AN65" i="23"/>
  <c r="AW64" i="23"/>
  <c r="AV64" i="23"/>
  <c r="AT64" i="23"/>
  <c r="AT64" i="23" a="1"/>
  <c r="AR64" i="23"/>
  <c r="AN64" i="23"/>
  <c r="AW63" i="23"/>
  <c r="AV63" i="23"/>
  <c r="AT63" i="23" a="1"/>
  <c r="AT63" i="23" s="1"/>
  <c r="AL63" i="23" s="1"/>
  <c r="AR63" i="23"/>
  <c r="AN63" i="23"/>
  <c r="AW62" i="23"/>
  <c r="AV62" i="23"/>
  <c r="AT62" i="23" a="1"/>
  <c r="AT62" i="23" s="1"/>
  <c r="AR62" i="23"/>
  <c r="AN62" i="23"/>
  <c r="AW61" i="23"/>
  <c r="AV61" i="23"/>
  <c r="AT61" i="23" a="1"/>
  <c r="AT61" i="23" s="1"/>
  <c r="AU61" i="23" s="1"/>
  <c r="AR61" i="23"/>
  <c r="AN61" i="23"/>
  <c r="AW60" i="23"/>
  <c r="AV60" i="23"/>
  <c r="AT60" i="23" a="1"/>
  <c r="AT60" i="23" s="1"/>
  <c r="AR60" i="23"/>
  <c r="AN60" i="23"/>
  <c r="AW59" i="23"/>
  <c r="AV59" i="23"/>
  <c r="AT59" i="23" a="1"/>
  <c r="AT59" i="23" s="1"/>
  <c r="AU59" i="23" s="1"/>
  <c r="AR59" i="23"/>
  <c r="AN59" i="23"/>
  <c r="AW58" i="23"/>
  <c r="AV58" i="23"/>
  <c r="AT58" i="23" a="1"/>
  <c r="AT58" i="23" s="1"/>
  <c r="AL58" i="23" s="1"/>
  <c r="AR58" i="23"/>
  <c r="AN58" i="23"/>
  <c r="AW57" i="23"/>
  <c r="AV57" i="23"/>
  <c r="AT57" i="23" a="1"/>
  <c r="AT57" i="23" s="1"/>
  <c r="AR57" i="23"/>
  <c r="AN57" i="23"/>
  <c r="AW56" i="23"/>
  <c r="AV56" i="23"/>
  <c r="AT56" i="23" a="1"/>
  <c r="AT56" i="23" s="1"/>
  <c r="AL56" i="23" s="1"/>
  <c r="AR56" i="23"/>
  <c r="AN56" i="23"/>
  <c r="AW55" i="23"/>
  <c r="AV55" i="23"/>
  <c r="AT55" i="23" a="1"/>
  <c r="AT55" i="23" s="1"/>
  <c r="AR55" i="23"/>
  <c r="AN55" i="23"/>
  <c r="AW54" i="23"/>
  <c r="AV54" i="23"/>
  <c r="AT54" i="23" a="1"/>
  <c r="AT54" i="23" s="1"/>
  <c r="AR54" i="23"/>
  <c r="AN54" i="23"/>
  <c r="AW53" i="23"/>
  <c r="AV53" i="23"/>
  <c r="AT53" i="23" a="1"/>
  <c r="AT53" i="23" s="1"/>
  <c r="AR53" i="23"/>
  <c r="AN53" i="23"/>
  <c r="AW52" i="23"/>
  <c r="AV52" i="23"/>
  <c r="AT52" i="23" a="1"/>
  <c r="AT52" i="23" s="1"/>
  <c r="AR52" i="23"/>
  <c r="AN52" i="23"/>
  <c r="AW51" i="23"/>
  <c r="AV51" i="23"/>
  <c r="AT51" i="23" a="1"/>
  <c r="AT51" i="23" s="1"/>
  <c r="AR51" i="23"/>
  <c r="AN51" i="23"/>
  <c r="AW50" i="23"/>
  <c r="AV50" i="23"/>
  <c r="AT50" i="23" a="1"/>
  <c r="AT50" i="23" s="1"/>
  <c r="AR50" i="23"/>
  <c r="AN50" i="23"/>
  <c r="AW49" i="23"/>
  <c r="AV49" i="23"/>
  <c r="AT49" i="23" a="1"/>
  <c r="AT49" i="23" s="1"/>
  <c r="AR49" i="23"/>
  <c r="AN49" i="23"/>
  <c r="AW48" i="23"/>
  <c r="AV48" i="23"/>
  <c r="AT48" i="23" a="1"/>
  <c r="AT48" i="23" s="1"/>
  <c r="AR48" i="23"/>
  <c r="AN48" i="23"/>
  <c r="AW47" i="23"/>
  <c r="AV47" i="23"/>
  <c r="AT47" i="23" a="1"/>
  <c r="AT47" i="23" s="1"/>
  <c r="AR47" i="23"/>
  <c r="AN47" i="23"/>
  <c r="AW46" i="23"/>
  <c r="AV46" i="23"/>
  <c r="AT46" i="23" a="1"/>
  <c r="AT46" i="23" s="1"/>
  <c r="AR46" i="23"/>
  <c r="AN46" i="23"/>
  <c r="AW45" i="23"/>
  <c r="AV45" i="23"/>
  <c r="AT45" i="23" a="1"/>
  <c r="AT45" i="23" s="1"/>
  <c r="AR45" i="23"/>
  <c r="AN45" i="23"/>
  <c r="AW44" i="23"/>
  <c r="AV44" i="23"/>
  <c r="AT44" i="23" a="1"/>
  <c r="AT44" i="23" s="1"/>
  <c r="AR44" i="23"/>
  <c r="AN44" i="23"/>
  <c r="AW43" i="23"/>
  <c r="AV43" i="23"/>
  <c r="AT43" i="23" a="1"/>
  <c r="AT43" i="23" s="1"/>
  <c r="AR43" i="23"/>
  <c r="AN43" i="23"/>
  <c r="AW42" i="23"/>
  <c r="AV42" i="23"/>
  <c r="AT42" i="23" a="1"/>
  <c r="AT42" i="23" s="1"/>
  <c r="AL42" i="23" s="1"/>
  <c r="AR42" i="23"/>
  <c r="AN42" i="23"/>
  <c r="AW41" i="23"/>
  <c r="AV41" i="23"/>
  <c r="AT41" i="23" a="1"/>
  <c r="AT41" i="23" s="1"/>
  <c r="AR41" i="23"/>
  <c r="AN41" i="23"/>
  <c r="AW40" i="23"/>
  <c r="AV40" i="23"/>
  <c r="AT40" i="23"/>
  <c r="AT40" i="23" a="1"/>
  <c r="AR40" i="23"/>
  <c r="AN40" i="23"/>
  <c r="AW39" i="23"/>
  <c r="AV39" i="23"/>
  <c r="AT39" i="23" a="1"/>
  <c r="AT39" i="23" s="1"/>
  <c r="AR39" i="23"/>
  <c r="AN39" i="23"/>
  <c r="AW38" i="23"/>
  <c r="AV38" i="23"/>
  <c r="AT38" i="23" a="1"/>
  <c r="AT38" i="23" s="1"/>
  <c r="AL38" i="23" s="1"/>
  <c r="AR38" i="23"/>
  <c r="AN38" i="23"/>
  <c r="AW37" i="23"/>
  <c r="AV37" i="23"/>
  <c r="AT37" i="23" a="1"/>
  <c r="AT37" i="23" s="1"/>
  <c r="AR37" i="23"/>
  <c r="AN37" i="23"/>
  <c r="AW36" i="23"/>
  <c r="AV36" i="23"/>
  <c r="AT36" i="23"/>
  <c r="AT36" i="23" a="1"/>
  <c r="AR36" i="23"/>
  <c r="AN36" i="23"/>
  <c r="AW35" i="23"/>
  <c r="AV35" i="23"/>
  <c r="AT35" i="23" a="1"/>
  <c r="AT35" i="23" s="1"/>
  <c r="AR35" i="23"/>
  <c r="AN35" i="23"/>
  <c r="AW34" i="23"/>
  <c r="AV34" i="23"/>
  <c r="AT34" i="23" a="1"/>
  <c r="AT34" i="23" s="1"/>
  <c r="AR34" i="23"/>
  <c r="AN34" i="23"/>
  <c r="AW33" i="23"/>
  <c r="AV33" i="23"/>
  <c r="AT33" i="23" a="1"/>
  <c r="AT33" i="23" s="1"/>
  <c r="AR33" i="23"/>
  <c r="AN33" i="23"/>
  <c r="AW32" i="23"/>
  <c r="AV32" i="23"/>
  <c r="AT32" i="23"/>
  <c r="AL32" i="23" s="1"/>
  <c r="AT32" i="23" a="1"/>
  <c r="AR32" i="23"/>
  <c r="AN32" i="23"/>
  <c r="AW31" i="23"/>
  <c r="AV31" i="23"/>
  <c r="AT31" i="23" a="1"/>
  <c r="AT31" i="23" s="1"/>
  <c r="AL31" i="23" s="1"/>
  <c r="AR31" i="23"/>
  <c r="AN31" i="23"/>
  <c r="AW30" i="23"/>
  <c r="AV30" i="23"/>
  <c r="AT30" i="23" a="1"/>
  <c r="AT30" i="23" s="1"/>
  <c r="AR30" i="23"/>
  <c r="AN30" i="23"/>
  <c r="AW29" i="23"/>
  <c r="AV29" i="23"/>
  <c r="AT29" i="23" a="1"/>
  <c r="AT29" i="23" s="1"/>
  <c r="AR29" i="23"/>
  <c r="AN29" i="23"/>
  <c r="AW28" i="23"/>
  <c r="AV28" i="23"/>
  <c r="AT28" i="23" a="1"/>
  <c r="AT28" i="23" s="1"/>
  <c r="AR28" i="23"/>
  <c r="AN28" i="23"/>
  <c r="AW27" i="23"/>
  <c r="AV27" i="23"/>
  <c r="AT27" i="23" a="1"/>
  <c r="AT27" i="23" s="1"/>
  <c r="AU27" i="23" s="1"/>
  <c r="AR27" i="23"/>
  <c r="AN27" i="23"/>
  <c r="AW26" i="23"/>
  <c r="AV26" i="23"/>
  <c r="AT26" i="23" a="1"/>
  <c r="AT26" i="23" s="1"/>
  <c r="AR26" i="23"/>
  <c r="AN26" i="23"/>
  <c r="AW25" i="23"/>
  <c r="AV25" i="23"/>
  <c r="AT25" i="23" a="1"/>
  <c r="AT25" i="23" s="1"/>
  <c r="AR25" i="23"/>
  <c r="AN25" i="23"/>
  <c r="AW24" i="23"/>
  <c r="AV24" i="23"/>
  <c r="AT24" i="23" a="1"/>
  <c r="AT24" i="23" s="1"/>
  <c r="AL24" i="23" s="1"/>
  <c r="AR24" i="23"/>
  <c r="AN24" i="23"/>
  <c r="AW23" i="23"/>
  <c r="AV23" i="23"/>
  <c r="AT23" i="23" a="1"/>
  <c r="AT23" i="23" s="1"/>
  <c r="AR23" i="23"/>
  <c r="AN23" i="23"/>
  <c r="AW22" i="23"/>
  <c r="AV22" i="23"/>
  <c r="AT22" i="23" a="1"/>
  <c r="AT22" i="23" s="1"/>
  <c r="AL22" i="23" s="1"/>
  <c r="AR22" i="23"/>
  <c r="AN22" i="23"/>
  <c r="AW21" i="23"/>
  <c r="AV21" i="23"/>
  <c r="AT21" i="23" a="1"/>
  <c r="AT21" i="23" s="1"/>
  <c r="AL21" i="23" s="1"/>
  <c r="AR21" i="23"/>
  <c r="AN21" i="23"/>
  <c r="AW20" i="23"/>
  <c r="AV20" i="23"/>
  <c r="AT20" i="23" a="1"/>
  <c r="AT20" i="23" s="1"/>
  <c r="AR20" i="23"/>
  <c r="AN20" i="23"/>
  <c r="AW19" i="23"/>
  <c r="AV19" i="23"/>
  <c r="AT19" i="23" a="1"/>
  <c r="AT19" i="23" s="1"/>
  <c r="AR19" i="23"/>
  <c r="AN19" i="23"/>
  <c r="AW18" i="23"/>
  <c r="AV18" i="23"/>
  <c r="AT18" i="23" a="1"/>
  <c r="AT18" i="23" s="1"/>
  <c r="AR18" i="23"/>
  <c r="AN18" i="23"/>
  <c r="AW17" i="23"/>
  <c r="AV17" i="23"/>
  <c r="AT17" i="23" a="1"/>
  <c r="AT17" i="23" s="1"/>
  <c r="AR17" i="23"/>
  <c r="AN17" i="23"/>
  <c r="AW16" i="23"/>
  <c r="AV16" i="23"/>
  <c r="AT16" i="23" a="1"/>
  <c r="AT16" i="23" s="1"/>
  <c r="AL16" i="23" s="1"/>
  <c r="AR16" i="23"/>
  <c r="AN16" i="23"/>
  <c r="AW15" i="23"/>
  <c r="AV15" i="23"/>
  <c r="AT15" i="23" a="1"/>
  <c r="AT15" i="23" s="1"/>
  <c r="AR15" i="23"/>
  <c r="AN15" i="23"/>
  <c r="AW14" i="23"/>
  <c r="AV14" i="23"/>
  <c r="AT14" i="23" a="1"/>
  <c r="AT14" i="23" s="1"/>
  <c r="AR14" i="23"/>
  <c r="AN14" i="23"/>
  <c r="AW13" i="23"/>
  <c r="AV13" i="23"/>
  <c r="AT13" i="23" a="1"/>
  <c r="AT13" i="23" s="1"/>
  <c r="AR13" i="23"/>
  <c r="AN13" i="23"/>
  <c r="AW12" i="23"/>
  <c r="AV12" i="23"/>
  <c r="AT12" i="23" a="1"/>
  <c r="AT12" i="23" s="1"/>
  <c r="AL12" i="23" s="1"/>
  <c r="AR12" i="23"/>
  <c r="AN12" i="23"/>
  <c r="AW11" i="23"/>
  <c r="AV11" i="23"/>
  <c r="AT11" i="23" a="1"/>
  <c r="AT11" i="23" s="1"/>
  <c r="AR11" i="23"/>
  <c r="AN11" i="23"/>
  <c r="AW10" i="23"/>
  <c r="AV10" i="23"/>
  <c r="AT10" i="23" a="1"/>
  <c r="AT10" i="23" s="1"/>
  <c r="AR10" i="23"/>
  <c r="AN10" i="23"/>
  <c r="AW9" i="23"/>
  <c r="AV9" i="23"/>
  <c r="AT9" i="23" a="1"/>
  <c r="AT9" i="23" s="1"/>
  <c r="AR9" i="23"/>
  <c r="AN9" i="23"/>
  <c r="AQ9" i="23" s="1"/>
  <c r="AW8" i="23"/>
  <c r="AV8" i="23"/>
  <c r="AT8" i="23" a="1"/>
  <c r="AT8" i="23" s="1"/>
  <c r="AR8" i="23"/>
  <c r="AN8" i="23"/>
  <c r="AW7" i="23"/>
  <c r="AV7" i="23"/>
  <c r="AT7" i="23" a="1"/>
  <c r="AT7" i="23" s="1"/>
  <c r="AL7" i="23" s="1"/>
  <c r="AR7" i="23"/>
  <c r="AN7" i="23"/>
  <c r="AW6" i="23"/>
  <c r="AV6" i="23"/>
  <c r="AT6" i="23" a="1"/>
  <c r="AT6" i="23" s="1"/>
  <c r="AR6" i="23"/>
  <c r="AN6" i="23"/>
  <c r="AW5" i="23"/>
  <c r="AV5" i="23"/>
  <c r="AT5" i="23" a="1"/>
  <c r="AT5" i="23" s="1"/>
  <c r="AU5" i="23" s="1"/>
  <c r="AR5" i="23"/>
  <c r="AN5" i="23"/>
  <c r="AQ5" i="23" s="1"/>
  <c r="AW4" i="23"/>
  <c r="AV4" i="23"/>
  <c r="AT4" i="23" a="1"/>
  <c r="AT4" i="23" s="1"/>
  <c r="AU4" i="23" s="1"/>
  <c r="AR4" i="23"/>
  <c r="AN4" i="23"/>
  <c r="AW3" i="23"/>
  <c r="AV3" i="23"/>
  <c r="AT3" i="23" a="1"/>
  <c r="AT3" i="23" s="1"/>
  <c r="AR3" i="23"/>
  <c r="AN3" i="23"/>
  <c r="AW2" i="23"/>
  <c r="AV2" i="23"/>
  <c r="AT2" i="23" a="1"/>
  <c r="AT2" i="23" s="1"/>
  <c r="AR2" i="23"/>
  <c r="AN2" i="23"/>
  <c r="N30" i="21"/>
  <c r="M30" i="21"/>
  <c r="N29" i="21"/>
  <c r="N66" i="21" s="1"/>
  <c r="M29" i="21"/>
  <c r="I29" i="21"/>
  <c r="I11" i="21"/>
  <c r="N11" i="21" s="1"/>
  <c r="I10" i="21"/>
  <c r="N10" i="21" s="1"/>
  <c r="I9" i="21"/>
  <c r="N9" i="21" s="1"/>
  <c r="I8" i="21"/>
  <c r="N8" i="21" s="1"/>
  <c r="I7" i="21"/>
  <c r="I6" i="21"/>
  <c r="N6" i="21" s="1"/>
  <c r="K225" i="23"/>
  <c r="K224" i="23"/>
  <c r="K223" i="23"/>
  <c r="K222" i="23"/>
  <c r="K221" i="23"/>
  <c r="K220" i="23"/>
  <c r="K219" i="23"/>
  <c r="K218" i="23"/>
  <c r="K217" i="23"/>
  <c r="K216" i="23"/>
  <c r="K215" i="23"/>
  <c r="K214" i="23"/>
  <c r="K213" i="23"/>
  <c r="K212" i="23"/>
  <c r="K211" i="23"/>
  <c r="K210" i="23"/>
  <c r="K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AS96" i="23"/>
  <c r="AQ96" i="23"/>
  <c r="AJ96" i="23"/>
  <c r="AH96" i="23"/>
  <c r="V96" i="23"/>
  <c r="BC95" i="23"/>
  <c r="AY95" i="23"/>
  <c r="AX95" i="23"/>
  <c r="BA95" i="23" s="1"/>
  <c r="AS95" i="23"/>
  <c r="AQ95" i="23"/>
  <c r="AJ95" i="23"/>
  <c r="AH95" i="23"/>
  <c r="V95" i="23"/>
  <c r="AS94" i="23"/>
  <c r="AQ94" i="23"/>
  <c r="AJ94" i="23"/>
  <c r="AH94" i="23"/>
  <c r="V94" i="23"/>
  <c r="AS93" i="23"/>
  <c r="AQ93" i="23"/>
  <c r="AJ93" i="23"/>
  <c r="AH93" i="23"/>
  <c r="V93" i="23"/>
  <c r="K93" i="23" s="1"/>
  <c r="AX92" i="23"/>
  <c r="AS92" i="23"/>
  <c r="AQ92" i="23"/>
  <c r="AJ92" i="23"/>
  <c r="AH92" i="23"/>
  <c r="V92" i="23"/>
  <c r="AX91" i="23"/>
  <c r="AS91" i="23"/>
  <c r="AQ91" i="23"/>
  <c r="AJ91" i="23"/>
  <c r="AH91" i="23"/>
  <c r="V91" i="23"/>
  <c r="K91" i="23" s="1"/>
  <c r="AS90" i="23"/>
  <c r="AQ90" i="23"/>
  <c r="AJ90" i="23"/>
  <c r="AH90" i="23"/>
  <c r="V90" i="23"/>
  <c r="K90" i="23"/>
  <c r="BC89" i="23"/>
  <c r="AX89" i="23"/>
  <c r="AY89" i="23" s="1"/>
  <c r="AS89" i="23"/>
  <c r="AQ89" i="23"/>
  <c r="AJ89" i="23"/>
  <c r="AH89" i="23"/>
  <c r="V89" i="23"/>
  <c r="AY88" i="23"/>
  <c r="AX88" i="23"/>
  <c r="AS88" i="23"/>
  <c r="AQ88" i="23"/>
  <c r="AJ88" i="23"/>
  <c r="AH88" i="23"/>
  <c r="V88" i="23"/>
  <c r="BC87" i="23"/>
  <c r="AY87" i="23"/>
  <c r="AX87" i="23"/>
  <c r="BA87" i="23" s="1"/>
  <c r="AS87" i="23"/>
  <c r="AQ87" i="23"/>
  <c r="AJ87" i="23"/>
  <c r="AH87" i="23"/>
  <c r="V87" i="23"/>
  <c r="BC86" i="23"/>
  <c r="AY86" i="23"/>
  <c r="AX86" i="23"/>
  <c r="BA86" i="23" s="1"/>
  <c r="AS86" i="23"/>
  <c r="AQ86" i="23"/>
  <c r="AJ86" i="23"/>
  <c r="AH86" i="23"/>
  <c r="V86" i="23"/>
  <c r="K86" i="23" s="1"/>
  <c r="AY85" i="23"/>
  <c r="AX85" i="23"/>
  <c r="BA85" i="23" s="1"/>
  <c r="AS85" i="23"/>
  <c r="AQ85" i="23"/>
  <c r="AJ85" i="23"/>
  <c r="AH85" i="23"/>
  <c r="V85" i="23"/>
  <c r="K85" i="23" s="1"/>
  <c r="AX84" i="23"/>
  <c r="AS84" i="23"/>
  <c r="AQ84" i="23"/>
  <c r="AJ84" i="23"/>
  <c r="AH84" i="23"/>
  <c r="V84" i="23"/>
  <c r="AX83" i="23"/>
  <c r="AS83" i="23"/>
  <c r="AQ83" i="23"/>
  <c r="AJ83" i="23"/>
  <c r="AH83" i="23"/>
  <c r="V83" i="23"/>
  <c r="K83" i="23"/>
  <c r="AX82" i="23"/>
  <c r="AS82" i="23"/>
  <c r="AQ82" i="23"/>
  <c r="AJ82" i="23"/>
  <c r="AH82" i="23"/>
  <c r="V82" i="23"/>
  <c r="BA81" i="23"/>
  <c r="AX81" i="23"/>
  <c r="BC81" i="23" s="1"/>
  <c r="AS81" i="23"/>
  <c r="AQ81" i="23"/>
  <c r="AJ81" i="23"/>
  <c r="AH81" i="23"/>
  <c r="V81" i="23"/>
  <c r="AX80" i="23"/>
  <c r="AS80" i="23"/>
  <c r="AQ80" i="23"/>
  <c r="AJ80" i="23"/>
  <c r="AH80" i="23"/>
  <c r="V80" i="23"/>
  <c r="AX79" i="23"/>
  <c r="AS79" i="23"/>
  <c r="AQ79" i="23"/>
  <c r="AJ79" i="23"/>
  <c r="AH79" i="23"/>
  <c r="V79" i="23"/>
  <c r="AS78" i="23"/>
  <c r="AQ78" i="23"/>
  <c r="AJ78" i="23"/>
  <c r="AH78" i="23"/>
  <c r="V78" i="23"/>
  <c r="K78" i="23" s="1"/>
  <c r="AX77" i="23"/>
  <c r="AS77" i="23"/>
  <c r="AQ77" i="23"/>
  <c r="AJ77" i="23"/>
  <c r="AH77" i="23"/>
  <c r="V77" i="23"/>
  <c r="K77" i="23" s="1"/>
  <c r="AX76" i="23"/>
  <c r="AS76" i="23"/>
  <c r="AQ76" i="23"/>
  <c r="AJ76" i="23"/>
  <c r="AH76" i="23"/>
  <c r="V76" i="23"/>
  <c r="AX75" i="23"/>
  <c r="AS75" i="23"/>
  <c r="AQ75" i="23"/>
  <c r="AJ75" i="23"/>
  <c r="AH75" i="23"/>
  <c r="V75" i="23"/>
  <c r="AX74" i="23"/>
  <c r="AS74" i="23"/>
  <c r="AQ74" i="23"/>
  <c r="AJ74" i="23"/>
  <c r="AH74" i="23"/>
  <c r="V74" i="23"/>
  <c r="AX73" i="23"/>
  <c r="AY73" i="23" s="1"/>
  <c r="AS73" i="23"/>
  <c r="AQ73" i="23"/>
  <c r="AJ73" i="23"/>
  <c r="AH73" i="23"/>
  <c r="V73" i="23"/>
  <c r="AY72" i="23"/>
  <c r="AX72" i="23"/>
  <c r="BC72" i="23" s="1"/>
  <c r="AS72" i="23"/>
  <c r="AQ72" i="23"/>
  <c r="AJ72" i="23"/>
  <c r="AH72" i="23"/>
  <c r="V72" i="23"/>
  <c r="AX71" i="23"/>
  <c r="AS71" i="23"/>
  <c r="AQ71" i="23"/>
  <c r="AJ71" i="23"/>
  <c r="AH71" i="23"/>
  <c r="V71" i="23"/>
  <c r="K71" i="23" s="1"/>
  <c r="AS70" i="23"/>
  <c r="AQ70" i="23"/>
  <c r="AJ70" i="23"/>
  <c r="AH70" i="23"/>
  <c r="V70" i="23"/>
  <c r="AX69" i="23"/>
  <c r="AS69" i="23"/>
  <c r="AQ69" i="23"/>
  <c r="AJ69" i="23"/>
  <c r="AH69" i="23"/>
  <c r="V69" i="23"/>
  <c r="K69" i="23" s="1"/>
  <c r="BC68" i="23"/>
  <c r="BA68" i="23"/>
  <c r="AX68" i="23"/>
  <c r="AY68" i="23" s="1"/>
  <c r="AS68" i="23"/>
  <c r="AQ68" i="23"/>
  <c r="AJ68" i="23"/>
  <c r="AH68" i="23"/>
  <c r="V68" i="23"/>
  <c r="K68" i="23" s="1"/>
  <c r="AX67" i="23"/>
  <c r="AS67" i="23"/>
  <c r="AQ67" i="23"/>
  <c r="AJ67" i="23"/>
  <c r="AH67" i="23"/>
  <c r="V67" i="23"/>
  <c r="AS66" i="23"/>
  <c r="AQ66" i="23"/>
  <c r="AJ66" i="23"/>
  <c r="AH66" i="23"/>
  <c r="V66" i="23"/>
  <c r="AX65" i="23"/>
  <c r="AS65" i="23"/>
  <c r="AQ65" i="23"/>
  <c r="AJ65" i="23"/>
  <c r="AH65" i="23"/>
  <c r="V65" i="23"/>
  <c r="K65" i="23" s="1"/>
  <c r="AX64" i="23"/>
  <c r="AY64" i="23" s="1"/>
  <c r="AU64" i="23"/>
  <c r="AS64" i="23"/>
  <c r="AQ64" i="23"/>
  <c r="AL64" i="23"/>
  <c r="AJ64" i="23"/>
  <c r="AH64" i="23"/>
  <c r="V64" i="23"/>
  <c r="K64" i="23" s="1"/>
  <c r="AX63" i="23"/>
  <c r="AS63" i="23"/>
  <c r="AQ63" i="23"/>
  <c r="AJ63" i="23"/>
  <c r="AH63" i="23"/>
  <c r="V63" i="23"/>
  <c r="K63" i="23" s="1"/>
  <c r="AX62" i="23"/>
  <c r="AS62" i="23"/>
  <c r="AQ62" i="23"/>
  <c r="AJ62" i="23"/>
  <c r="AH62" i="23"/>
  <c r="V62" i="23"/>
  <c r="K62" i="23" s="1"/>
  <c r="AX61" i="23"/>
  <c r="AS61" i="23"/>
  <c r="AQ61" i="23"/>
  <c r="AJ61" i="23"/>
  <c r="AH61" i="23"/>
  <c r="V61" i="23"/>
  <c r="AS60" i="23"/>
  <c r="AQ60" i="23"/>
  <c r="AJ60" i="23"/>
  <c r="AH60" i="23"/>
  <c r="V60" i="23"/>
  <c r="AX59" i="23"/>
  <c r="AS59" i="23"/>
  <c r="AQ59" i="23"/>
  <c r="AJ59" i="23"/>
  <c r="AH59" i="23"/>
  <c r="V59" i="23"/>
  <c r="K59" i="23" s="1"/>
  <c r="AY58" i="23"/>
  <c r="AX58" i="23"/>
  <c r="AS58" i="23"/>
  <c r="AQ58" i="23"/>
  <c r="AJ58" i="23"/>
  <c r="AH58" i="23"/>
  <c r="V58" i="23"/>
  <c r="AX57" i="23"/>
  <c r="AS57" i="23"/>
  <c r="AQ57" i="23"/>
  <c r="AJ57" i="23"/>
  <c r="AH57" i="23"/>
  <c r="V57" i="23"/>
  <c r="K57" i="23"/>
  <c r="AY56" i="23"/>
  <c r="AX56" i="23"/>
  <c r="BC56" i="23" s="1"/>
  <c r="AS56" i="23"/>
  <c r="AQ56" i="23"/>
  <c r="AJ56" i="23"/>
  <c r="AH56" i="23"/>
  <c r="V56" i="23"/>
  <c r="K56" i="23"/>
  <c r="BC55" i="23"/>
  <c r="AX55" i="23"/>
  <c r="AS55" i="23"/>
  <c r="AQ55" i="23"/>
  <c r="AJ55" i="23"/>
  <c r="AH55" i="23"/>
  <c r="V55" i="23"/>
  <c r="K55" i="23" s="1"/>
  <c r="AX54" i="23"/>
  <c r="AS54" i="23"/>
  <c r="AQ54" i="23"/>
  <c r="AJ54" i="23"/>
  <c r="AH54" i="23"/>
  <c r="V54" i="23"/>
  <c r="AX53" i="23"/>
  <c r="AS53" i="23"/>
  <c r="AQ53" i="23"/>
  <c r="AJ53" i="23"/>
  <c r="AH53" i="23"/>
  <c r="V53" i="23"/>
  <c r="K53" i="23" s="1"/>
  <c r="AX52" i="23"/>
  <c r="BA52" i="23" s="1"/>
  <c r="AS52" i="23"/>
  <c r="AQ52" i="23"/>
  <c r="AJ52" i="23"/>
  <c r="AH52" i="23"/>
  <c r="V52" i="23"/>
  <c r="K52" i="23" s="1"/>
  <c r="BC51" i="23"/>
  <c r="BA51" i="23"/>
  <c r="AX51" i="23"/>
  <c r="AY51" i="23" s="1"/>
  <c r="AS51" i="23"/>
  <c r="AQ51" i="23"/>
  <c r="AJ51" i="23"/>
  <c r="AH51" i="23"/>
  <c r="V51" i="23"/>
  <c r="K51" i="23" s="1"/>
  <c r="AX50" i="23"/>
  <c r="AS50" i="23"/>
  <c r="AQ50" i="23"/>
  <c r="AJ50" i="23"/>
  <c r="AH50" i="23"/>
  <c r="V50" i="23"/>
  <c r="K50" i="23"/>
  <c r="AX49" i="23"/>
  <c r="AS49" i="23"/>
  <c r="AQ49" i="23"/>
  <c r="AJ49" i="23"/>
  <c r="AH49" i="23"/>
  <c r="V49" i="23"/>
  <c r="K49" i="23" s="1"/>
  <c r="AX48" i="23"/>
  <c r="AS48" i="23"/>
  <c r="AQ48" i="23"/>
  <c r="AJ48" i="23"/>
  <c r="AH48" i="23"/>
  <c r="V48" i="23"/>
  <c r="BC47" i="23"/>
  <c r="BA47" i="23"/>
  <c r="AX47" i="23"/>
  <c r="AY47" i="23" s="1"/>
  <c r="AS47" i="23"/>
  <c r="AQ47" i="23"/>
  <c r="AJ47" i="23"/>
  <c r="AH47" i="23"/>
  <c r="V47" i="23"/>
  <c r="K47" i="23" s="1"/>
  <c r="AX46" i="23"/>
  <c r="BC46" i="23" s="1"/>
  <c r="AS46" i="23"/>
  <c r="AQ46" i="23"/>
  <c r="AJ46" i="23"/>
  <c r="AH46" i="23"/>
  <c r="V46" i="23"/>
  <c r="K46" i="23"/>
  <c r="AX45" i="23"/>
  <c r="AS45" i="23"/>
  <c r="AQ45" i="23"/>
  <c r="AJ45" i="23"/>
  <c r="AH45" i="23"/>
  <c r="V45" i="23"/>
  <c r="K45" i="23"/>
  <c r="AX44" i="23"/>
  <c r="AS44" i="23"/>
  <c r="AQ44" i="23"/>
  <c r="AJ44" i="23"/>
  <c r="AH44" i="23"/>
  <c r="V44" i="23"/>
  <c r="K44" i="23"/>
  <c r="AX43" i="23"/>
  <c r="AS43" i="23"/>
  <c r="AQ43" i="23"/>
  <c r="AJ43" i="23"/>
  <c r="AH43" i="23"/>
  <c r="V43" i="23"/>
  <c r="K43" i="23" s="1"/>
  <c r="AX42" i="23"/>
  <c r="BC42" i="23" s="1"/>
  <c r="AS42" i="23"/>
  <c r="AQ42" i="23"/>
  <c r="AJ42" i="23"/>
  <c r="AH42" i="23"/>
  <c r="V42" i="23"/>
  <c r="AX41" i="23"/>
  <c r="BA41" i="23" s="1"/>
  <c r="AS41" i="23"/>
  <c r="AQ41" i="23"/>
  <c r="AJ41" i="23"/>
  <c r="AH41" i="23"/>
  <c r="V41" i="23"/>
  <c r="K41" i="23"/>
  <c r="AS40" i="23"/>
  <c r="AQ40" i="23"/>
  <c r="AJ40" i="23"/>
  <c r="AH40" i="23"/>
  <c r="V40" i="23"/>
  <c r="AX39" i="23"/>
  <c r="AY39" i="23" s="1"/>
  <c r="AS39" i="23"/>
  <c r="AQ39" i="23"/>
  <c r="AJ39" i="23"/>
  <c r="AH39" i="23"/>
  <c r="V39" i="23"/>
  <c r="K39" i="23" s="1"/>
  <c r="AX38" i="23"/>
  <c r="AY38" i="23" s="1"/>
  <c r="AS38" i="23"/>
  <c r="AQ38" i="23"/>
  <c r="AJ38" i="23"/>
  <c r="AH38" i="23"/>
  <c r="V38" i="23"/>
  <c r="K38" i="23"/>
  <c r="AX37" i="23"/>
  <c r="AS37" i="23"/>
  <c r="AQ37" i="23"/>
  <c r="AJ37" i="23"/>
  <c r="AH37" i="23"/>
  <c r="V37" i="23"/>
  <c r="K37" i="23" s="1"/>
  <c r="BA36" i="23"/>
  <c r="AX36" i="23"/>
  <c r="AS36" i="23"/>
  <c r="AQ36" i="23"/>
  <c r="AJ36" i="23"/>
  <c r="AH36" i="23"/>
  <c r="V36" i="23"/>
  <c r="K36" i="23" s="1"/>
  <c r="AX35" i="23"/>
  <c r="AS35" i="23"/>
  <c r="AQ35" i="23"/>
  <c r="AJ35" i="23"/>
  <c r="AH35" i="23"/>
  <c r="V35" i="23"/>
  <c r="K35" i="23" s="1"/>
  <c r="AX34" i="23"/>
  <c r="BC34" i="23" s="1"/>
  <c r="AS34" i="23"/>
  <c r="AQ34" i="23"/>
  <c r="AJ34" i="23"/>
  <c r="AH34" i="23"/>
  <c r="V34" i="23"/>
  <c r="K34" i="23"/>
  <c r="AX33" i="23"/>
  <c r="AS33" i="23"/>
  <c r="AQ33" i="23"/>
  <c r="AJ33" i="23"/>
  <c r="AH33" i="23"/>
  <c r="V33" i="23"/>
  <c r="K33" i="23" s="1"/>
  <c r="AS32" i="23"/>
  <c r="AQ32" i="23"/>
  <c r="AJ32" i="23"/>
  <c r="AH32" i="23"/>
  <c r="V32" i="23"/>
  <c r="K32" i="23" s="1"/>
  <c r="AX31" i="23"/>
  <c r="BC31" i="23" s="1"/>
  <c r="AS31" i="23"/>
  <c r="AQ31" i="23"/>
  <c r="AJ31" i="23"/>
  <c r="AH31" i="23"/>
  <c r="V31" i="23"/>
  <c r="AX30" i="23"/>
  <c r="AS30" i="23"/>
  <c r="AQ30" i="23"/>
  <c r="AJ30" i="23"/>
  <c r="AH30" i="23"/>
  <c r="V30" i="23"/>
  <c r="K30" i="23" s="1"/>
  <c r="AX29" i="23"/>
  <c r="AS29" i="23"/>
  <c r="AQ29" i="23"/>
  <c r="AJ29" i="23"/>
  <c r="AH29" i="23"/>
  <c r="V29" i="23"/>
  <c r="K29" i="23" s="1"/>
  <c r="AS28" i="23"/>
  <c r="AQ28" i="23"/>
  <c r="AJ28" i="23"/>
  <c r="AH28" i="23"/>
  <c r="V28" i="23"/>
  <c r="K28" i="23" s="1"/>
  <c r="AX27" i="23"/>
  <c r="AS27" i="23"/>
  <c r="AQ27" i="23"/>
  <c r="AJ27" i="23"/>
  <c r="AH27" i="23"/>
  <c r="V27" i="23"/>
  <c r="K27" i="23" s="1"/>
  <c r="AX26" i="23"/>
  <c r="AS26" i="23"/>
  <c r="AQ26" i="23"/>
  <c r="AJ26" i="23"/>
  <c r="AH26" i="23"/>
  <c r="V26" i="23"/>
  <c r="K26" i="23" s="1"/>
  <c r="AX25" i="23"/>
  <c r="AS25" i="23"/>
  <c r="AQ25" i="23"/>
  <c r="AJ25" i="23"/>
  <c r="AH25" i="23"/>
  <c r="V25" i="23"/>
  <c r="BC24" i="23"/>
  <c r="AX24" i="23"/>
  <c r="AY24" i="23" s="1"/>
  <c r="AS24" i="23"/>
  <c r="AQ24" i="23"/>
  <c r="AJ24" i="23"/>
  <c r="AH24" i="23"/>
  <c r="V24" i="23"/>
  <c r="K24" i="23" s="1"/>
  <c r="AX23" i="23"/>
  <c r="AS23" i="23"/>
  <c r="AQ23" i="23"/>
  <c r="AJ23" i="23"/>
  <c r="AH23" i="23"/>
  <c r="V23" i="23"/>
  <c r="K23" i="23" s="1"/>
  <c r="AX22" i="23"/>
  <c r="AY22" i="23" s="1"/>
  <c r="AS22" i="23"/>
  <c r="AQ22" i="23"/>
  <c r="AJ22" i="23"/>
  <c r="AH22" i="23"/>
  <c r="V22" i="23"/>
  <c r="AX21" i="23"/>
  <c r="AS21" i="23"/>
  <c r="AQ21" i="23"/>
  <c r="AJ21" i="23"/>
  <c r="AH21" i="23"/>
  <c r="V21" i="23"/>
  <c r="K21" i="23"/>
  <c r="AS20" i="23"/>
  <c r="AQ20" i="23"/>
  <c r="AJ20" i="23"/>
  <c r="AH20" i="23"/>
  <c r="V20" i="23"/>
  <c r="K20" i="23"/>
  <c r="AX19" i="23"/>
  <c r="BA19" i="23" s="1"/>
  <c r="AS19" i="23"/>
  <c r="AQ19" i="23"/>
  <c r="AJ19" i="23"/>
  <c r="AH19" i="23"/>
  <c r="V19" i="23"/>
  <c r="K19" i="23" s="1"/>
  <c r="AX18" i="23"/>
  <c r="BC18" i="23" s="1"/>
  <c r="AS18" i="23"/>
  <c r="AQ18" i="23"/>
  <c r="AJ18" i="23"/>
  <c r="AH18" i="23"/>
  <c r="V18" i="23"/>
  <c r="AX17" i="23"/>
  <c r="AS17" i="23"/>
  <c r="AQ17" i="23"/>
  <c r="AJ17" i="23"/>
  <c r="AH17" i="23"/>
  <c r="V17" i="23"/>
  <c r="K17" i="23" s="1"/>
  <c r="AX16" i="23"/>
  <c r="AS16" i="23"/>
  <c r="AQ16" i="23"/>
  <c r="AJ16" i="23"/>
  <c r="AH16" i="23"/>
  <c r="V16" i="23"/>
  <c r="K16" i="23"/>
  <c r="AY15" i="23"/>
  <c r="AX15" i="23"/>
  <c r="BA15" i="23" s="1"/>
  <c r="AS15" i="23"/>
  <c r="AQ15" i="23"/>
  <c r="AJ15" i="23"/>
  <c r="AH15" i="23"/>
  <c r="V15" i="23"/>
  <c r="K15" i="23" s="1"/>
  <c r="AX14" i="23"/>
  <c r="BA14" i="23" s="1"/>
  <c r="AS14" i="23"/>
  <c r="AQ14" i="23"/>
  <c r="AJ14" i="23"/>
  <c r="AH14" i="23"/>
  <c r="V14" i="23"/>
  <c r="AX13" i="23"/>
  <c r="AS13" i="23"/>
  <c r="AQ13" i="23"/>
  <c r="AJ13" i="23"/>
  <c r="AH13" i="23"/>
  <c r="V13" i="23"/>
  <c r="K13" i="23" s="1"/>
  <c r="AX12" i="23"/>
  <c r="AY12" i="23" s="1"/>
  <c r="AS12" i="23"/>
  <c r="AQ12" i="23"/>
  <c r="AJ12" i="23"/>
  <c r="AH12" i="23"/>
  <c r="V12" i="23"/>
  <c r="K12" i="23" s="1"/>
  <c r="BC11" i="23"/>
  <c r="BA11" i="23"/>
  <c r="AX11" i="23"/>
  <c r="AY11" i="23" s="1"/>
  <c r="AS11" i="23"/>
  <c r="AQ11" i="23"/>
  <c r="AJ11" i="23"/>
  <c r="AH11" i="23"/>
  <c r="V11" i="23"/>
  <c r="O11" i="23" s="1"/>
  <c r="Q11" i="23"/>
  <c r="M11" i="23"/>
  <c r="H11" i="23"/>
  <c r="E11" i="23"/>
  <c r="D11" i="23"/>
  <c r="BC10" i="23"/>
  <c r="BA10" i="23"/>
  <c r="AX10" i="23"/>
  <c r="AY10" i="23" s="1"/>
  <c r="AS10" i="23"/>
  <c r="AQ10" i="23"/>
  <c r="AJ10" i="23"/>
  <c r="AH10" i="23"/>
  <c r="V10" i="23"/>
  <c r="Q10" i="23" s="1"/>
  <c r="O10" i="23"/>
  <c r="M10" i="23"/>
  <c r="L10" i="23"/>
  <c r="H10" i="23"/>
  <c r="F10" i="23"/>
  <c r="D10" i="23"/>
  <c r="C10" i="23"/>
  <c r="BC9" i="23"/>
  <c r="BA9" i="23"/>
  <c r="AS9" i="23"/>
  <c r="AJ9" i="23"/>
  <c r="AH9" i="23"/>
  <c r="V9" i="23"/>
  <c r="M9" i="23" s="1"/>
  <c r="BC8" i="23"/>
  <c r="BA8" i="23"/>
  <c r="AX8" i="23"/>
  <c r="AY8" i="23" s="1"/>
  <c r="AS8" i="23"/>
  <c r="AQ8" i="23"/>
  <c r="AJ8" i="23"/>
  <c r="AH8" i="23"/>
  <c r="V8" i="23"/>
  <c r="N8" i="23" s="1"/>
  <c r="R8" i="23"/>
  <c r="E8" i="23"/>
  <c r="A8" i="23"/>
  <c r="BC7" i="23"/>
  <c r="BA7" i="23"/>
  <c r="AX7" i="23"/>
  <c r="AY7" i="23" s="1"/>
  <c r="AS7" i="23"/>
  <c r="AQ7" i="23"/>
  <c r="AJ7" i="23"/>
  <c r="AH7" i="23"/>
  <c r="V7" i="23"/>
  <c r="P7" i="23" s="1"/>
  <c r="Q7" i="23"/>
  <c r="E7" i="23"/>
  <c r="C7" i="23"/>
  <c r="A7" i="23"/>
  <c r="BC6" i="23"/>
  <c r="BA6" i="23"/>
  <c r="AX6" i="23"/>
  <c r="AY6" i="23" s="1"/>
  <c r="AS6" i="23"/>
  <c r="AQ6" i="23"/>
  <c r="AJ6" i="23"/>
  <c r="AH6" i="23"/>
  <c r="V6" i="23"/>
  <c r="N6" i="23" s="1"/>
  <c r="K6" i="23"/>
  <c r="G6" i="23"/>
  <c r="BC5" i="23"/>
  <c r="BA5" i="23"/>
  <c r="AX5" i="23"/>
  <c r="AY5" i="23" s="1"/>
  <c r="AS5" i="23"/>
  <c r="AJ5" i="23"/>
  <c r="AH5" i="23"/>
  <c r="V5" i="23"/>
  <c r="L5" i="23" s="1"/>
  <c r="I5" i="23"/>
  <c r="BC4" i="23"/>
  <c r="BA4" i="23"/>
  <c r="AX4" i="23"/>
  <c r="AY4" i="23" s="1"/>
  <c r="AS4" i="23"/>
  <c r="AQ4" i="23"/>
  <c r="AM4" i="23"/>
  <c r="AM5" i="23" s="1"/>
  <c r="AM6" i="23" s="1"/>
  <c r="AM7" i="23" s="1"/>
  <c r="AM8" i="23" s="1"/>
  <c r="AM9" i="23" s="1"/>
  <c r="AM10" i="23" s="1"/>
  <c r="AM11" i="23" s="1"/>
  <c r="AM12" i="23" s="1"/>
  <c r="AM13" i="23" s="1"/>
  <c r="AM14" i="23" s="1"/>
  <c r="AM15" i="23" s="1"/>
  <c r="AM16" i="23" s="1"/>
  <c r="AM17" i="23" s="1"/>
  <c r="AM18" i="23" s="1"/>
  <c r="AM19" i="23" s="1"/>
  <c r="AM20" i="23" s="1"/>
  <c r="AM21" i="23" s="1"/>
  <c r="AM22" i="23" s="1"/>
  <c r="AM23" i="23" s="1"/>
  <c r="AM24" i="23" s="1"/>
  <c r="AM25" i="23" s="1"/>
  <c r="AM26" i="23" s="1"/>
  <c r="AM27" i="23" s="1"/>
  <c r="AM28" i="23" s="1"/>
  <c r="AM29" i="23" s="1"/>
  <c r="AM30" i="23" s="1"/>
  <c r="AM31" i="23" s="1"/>
  <c r="AM32" i="23" s="1"/>
  <c r="AM33" i="23" s="1"/>
  <c r="AM34" i="23" s="1"/>
  <c r="AM35" i="23" s="1"/>
  <c r="AM36" i="23" s="1"/>
  <c r="AM37" i="23" s="1"/>
  <c r="AM38" i="23" s="1"/>
  <c r="AM39" i="23" s="1"/>
  <c r="AM40" i="23" s="1"/>
  <c r="AM41" i="23" s="1"/>
  <c r="AM42" i="23" s="1"/>
  <c r="AM43" i="23" s="1"/>
  <c r="AM44" i="23" s="1"/>
  <c r="AM45" i="23" s="1"/>
  <c r="AM46" i="23" s="1"/>
  <c r="AM47" i="23" s="1"/>
  <c r="AM48" i="23" s="1"/>
  <c r="AM49" i="23" s="1"/>
  <c r="AM50" i="23" s="1"/>
  <c r="AM51" i="23" s="1"/>
  <c r="AM52" i="23" s="1"/>
  <c r="AM53" i="23" s="1"/>
  <c r="AM54" i="23" s="1"/>
  <c r="AM55" i="23" s="1"/>
  <c r="AM56" i="23" s="1"/>
  <c r="AM57" i="23" s="1"/>
  <c r="AM58" i="23" s="1"/>
  <c r="AM59" i="23" s="1"/>
  <c r="AM60" i="23" s="1"/>
  <c r="AM61" i="23" s="1"/>
  <c r="AM62" i="23" s="1"/>
  <c r="AM63" i="23" s="1"/>
  <c r="AM64" i="23" s="1"/>
  <c r="AM65" i="23" s="1"/>
  <c r="AM66" i="23" s="1"/>
  <c r="AM67" i="23" s="1"/>
  <c r="AM68" i="23" s="1"/>
  <c r="AM69" i="23" s="1"/>
  <c r="AM70" i="23" s="1"/>
  <c r="AM71" i="23" s="1"/>
  <c r="AM72" i="23" s="1"/>
  <c r="AM73" i="23" s="1"/>
  <c r="AM74" i="23" s="1"/>
  <c r="AM75" i="23" s="1"/>
  <c r="AM76" i="23" s="1"/>
  <c r="AM77" i="23" s="1"/>
  <c r="AM78" i="23" s="1"/>
  <c r="AM79" i="23" s="1"/>
  <c r="AM80" i="23" s="1"/>
  <c r="AM81" i="23" s="1"/>
  <c r="AM82" i="23" s="1"/>
  <c r="AM83" i="23" s="1"/>
  <c r="AM84" i="23" s="1"/>
  <c r="AM85" i="23" s="1"/>
  <c r="AM86" i="23" s="1"/>
  <c r="AM87" i="23" s="1"/>
  <c r="AM88" i="23" s="1"/>
  <c r="AM89" i="23" s="1"/>
  <c r="AM90" i="23" s="1"/>
  <c r="AM91" i="23" s="1"/>
  <c r="AM92" i="23" s="1"/>
  <c r="AM93" i="23" s="1"/>
  <c r="AM94" i="23" s="1"/>
  <c r="AM95" i="23" s="1"/>
  <c r="AM96" i="23" s="1"/>
  <c r="AJ4" i="23"/>
  <c r="AH4" i="23"/>
  <c r="V4" i="23"/>
  <c r="R4" i="23" s="1"/>
  <c r="F4" i="23"/>
  <c r="BC3" i="23"/>
  <c r="BA3" i="23"/>
  <c r="AX3" i="23"/>
  <c r="AY3" i="23" s="1"/>
  <c r="AS3" i="23"/>
  <c r="AQ3" i="23"/>
  <c r="AM3" i="23"/>
  <c r="AJ3" i="23"/>
  <c r="AH3" i="23"/>
  <c r="T3" i="23"/>
  <c r="T4" i="23" s="1"/>
  <c r="T5" i="23" s="1"/>
  <c r="T6" i="23" s="1"/>
  <c r="T7" i="23" s="1"/>
  <c r="T8" i="23" s="1"/>
  <c r="T9" i="23" s="1"/>
  <c r="T10" i="23" s="1"/>
  <c r="T11" i="23" s="1"/>
  <c r="T12" i="23" s="1"/>
  <c r="T13" i="23" s="1"/>
  <c r="T14" i="23" s="1"/>
  <c r="T15" i="23" s="1"/>
  <c r="T16" i="23" s="1"/>
  <c r="T17" i="23" s="1"/>
  <c r="T18" i="23" s="1"/>
  <c r="T19" i="23" s="1"/>
  <c r="T20" i="23" s="1"/>
  <c r="T21" i="23" s="1"/>
  <c r="T22" i="23" s="1"/>
  <c r="T23" i="23" s="1"/>
  <c r="T24" i="23" s="1"/>
  <c r="T25" i="23" s="1"/>
  <c r="T26" i="23" s="1"/>
  <c r="T27" i="23" s="1"/>
  <c r="T28" i="23" s="1"/>
  <c r="T29" i="23" s="1"/>
  <c r="T30" i="23" s="1"/>
  <c r="T31" i="23" s="1"/>
  <c r="T32" i="23" s="1"/>
  <c r="T33" i="23" s="1"/>
  <c r="T34" i="23" s="1"/>
  <c r="T35" i="23" s="1"/>
  <c r="T36" i="23" s="1"/>
  <c r="T37" i="23" s="1"/>
  <c r="T38" i="23" s="1"/>
  <c r="T39" i="23" s="1"/>
  <c r="T40" i="23" s="1"/>
  <c r="T41" i="23" s="1"/>
  <c r="T42" i="23" s="1"/>
  <c r="T43" i="23" s="1"/>
  <c r="T44" i="23" s="1"/>
  <c r="T45" i="23" s="1"/>
  <c r="T46" i="23" s="1"/>
  <c r="T47" i="23" s="1"/>
  <c r="T48" i="23" s="1"/>
  <c r="T49" i="23" s="1"/>
  <c r="T50" i="23" s="1"/>
  <c r="T51" i="23" s="1"/>
  <c r="T52" i="23" s="1"/>
  <c r="T53" i="23" s="1"/>
  <c r="T54" i="23" s="1"/>
  <c r="T55" i="23" s="1"/>
  <c r="T56" i="23" s="1"/>
  <c r="T57" i="23" s="1"/>
  <c r="T58" i="23" s="1"/>
  <c r="T59" i="23" s="1"/>
  <c r="T60" i="23" s="1"/>
  <c r="T61" i="23" s="1"/>
  <c r="T62" i="23" s="1"/>
  <c r="T63" i="23" s="1"/>
  <c r="T64" i="23" s="1"/>
  <c r="T65" i="23" s="1"/>
  <c r="T66" i="23" s="1"/>
  <c r="T67" i="23" s="1"/>
  <c r="T68" i="23" s="1"/>
  <c r="T69" i="23" s="1"/>
  <c r="T70" i="23" s="1"/>
  <c r="T71" i="23" s="1"/>
  <c r="T72" i="23" s="1"/>
  <c r="T73" i="23" s="1"/>
  <c r="T74" i="23" s="1"/>
  <c r="T75" i="23" s="1"/>
  <c r="T76" i="23" s="1"/>
  <c r="T77" i="23" s="1"/>
  <c r="T78" i="23" s="1"/>
  <c r="T79" i="23" s="1"/>
  <c r="T80" i="23" s="1"/>
  <c r="T81" i="23" s="1"/>
  <c r="T82" i="23" s="1"/>
  <c r="T83" i="23" s="1"/>
  <c r="T84" i="23" s="1"/>
  <c r="T85" i="23" s="1"/>
  <c r="T86" i="23" s="1"/>
  <c r="T87" i="23" s="1"/>
  <c r="T88" i="23" s="1"/>
  <c r="T89" i="23" s="1"/>
  <c r="T90" i="23" s="1"/>
  <c r="T91" i="23" s="1"/>
  <c r="T92" i="23" s="1"/>
  <c r="T93" i="23" s="1"/>
  <c r="T94" i="23" s="1"/>
  <c r="T95" i="23" s="1"/>
  <c r="T96" i="23" s="1"/>
  <c r="BC2" i="23"/>
  <c r="BA2" i="23"/>
  <c r="AX2" i="23"/>
  <c r="AY2" i="23" s="1"/>
  <c r="AS2" i="23"/>
  <c r="AQ2" i="23"/>
  <c r="AJ2" i="23"/>
  <c r="AH2" i="23"/>
  <c r="E63" i="24"/>
  <c r="F3" i="22"/>
  <c r="F4" i="22"/>
  <c r="F5" i="22"/>
  <c r="F6" i="22"/>
  <c r="F7" i="22"/>
  <c r="F8" i="22"/>
  <c r="F9" i="22"/>
  <c r="F10" i="22"/>
  <c r="F11" i="22"/>
  <c r="F12" i="22"/>
  <c r="F13" i="22"/>
  <c r="F14" i="22"/>
  <c r="F15" i="22"/>
  <c r="F16" i="22"/>
  <c r="F17" i="22"/>
  <c r="F18" i="22"/>
  <c r="F19" i="22"/>
  <c r="F20" i="22"/>
  <c r="F21" i="22"/>
  <c r="F22" i="22"/>
  <c r="F23" i="22"/>
  <c r="F24" i="22"/>
  <c r="F25" i="22"/>
  <c r="F26" i="22"/>
  <c r="F27" i="22"/>
  <c r="F28" i="22"/>
  <c r="F29" i="22"/>
  <c r="F30" i="22"/>
  <c r="F31" i="22"/>
  <c r="F32" i="22"/>
  <c r="F33" i="22"/>
  <c r="F34" i="22"/>
  <c r="F35" i="22"/>
  <c r="F36" i="22"/>
  <c r="F37" i="22"/>
  <c r="F38" i="22"/>
  <c r="F39" i="22"/>
  <c r="F40" i="22"/>
  <c r="F41" i="22"/>
  <c r="F42" i="22"/>
  <c r="F43" i="22"/>
  <c r="F44" i="22"/>
  <c r="F45" i="22"/>
  <c r="F46" i="22"/>
  <c r="F47" i="22"/>
  <c r="F48" i="22"/>
  <c r="F49" i="22"/>
  <c r="F50" i="22"/>
  <c r="F51" i="22"/>
  <c r="F52" i="22"/>
  <c r="F53" i="22"/>
  <c r="F54" i="22"/>
  <c r="F55" i="22"/>
  <c r="F56" i="22"/>
  <c r="F57" i="22"/>
  <c r="F58" i="22"/>
  <c r="F59" i="22"/>
  <c r="F60" i="22"/>
  <c r="F61" i="22"/>
  <c r="F62" i="22"/>
  <c r="F63" i="22"/>
  <c r="F64" i="22"/>
  <c r="F65" i="22"/>
  <c r="F66" i="22"/>
  <c r="F67" i="22"/>
  <c r="F68" i="22"/>
  <c r="F69" i="22"/>
  <c r="F70" i="22"/>
  <c r="F71" i="22"/>
  <c r="F72" i="22"/>
  <c r="F73" i="22"/>
  <c r="F74" i="22"/>
  <c r="F75" i="22"/>
  <c r="F76" i="22"/>
  <c r="F77" i="22"/>
  <c r="F78" i="22"/>
  <c r="D78" i="22"/>
  <c r="D4" i="22"/>
  <c r="D5" i="22"/>
  <c r="D6" i="22"/>
  <c r="D7" i="22"/>
  <c r="D8" i="22" s="1"/>
  <c r="D9" i="22" s="1"/>
  <c r="D10" i="22"/>
  <c r="D11" i="22"/>
  <c r="D12" i="22" s="1"/>
  <c r="D13" i="22" s="1"/>
  <c r="D14" i="22" s="1"/>
  <c r="D15" i="22" s="1"/>
  <c r="D16" i="22" s="1"/>
  <c r="D17" i="22" s="1"/>
  <c r="D18" i="22" s="1"/>
  <c r="D19" i="22" s="1"/>
  <c r="D20" i="22" s="1"/>
  <c r="D21" i="22" s="1"/>
  <c r="D22" i="22" s="1"/>
  <c r="D23" i="22" s="1"/>
  <c r="D24" i="22" s="1"/>
  <c r="D25" i="22" s="1"/>
  <c r="D26" i="22" s="1"/>
  <c r="D27" i="22" s="1"/>
  <c r="D28" i="22"/>
  <c r="D29" i="22"/>
  <c r="D30" i="22"/>
  <c r="D31" i="22"/>
  <c r="D32" i="22" s="1"/>
  <c r="D33" i="22" s="1"/>
  <c r="D34" i="22" s="1"/>
  <c r="D35" i="22" s="1"/>
  <c r="D36" i="22" s="1"/>
  <c r="D37" i="22" s="1"/>
  <c r="D38" i="22"/>
  <c r="D39" i="22"/>
  <c r="D40" i="22" s="1"/>
  <c r="D41" i="22" s="1"/>
  <c r="D42" i="22" s="1"/>
  <c r="D43" i="22" s="1"/>
  <c r="D44" i="22"/>
  <c r="D45" i="22" s="1"/>
  <c r="D46" i="22" s="1"/>
  <c r="D47" i="22" s="1"/>
  <c r="D48" i="22" s="1"/>
  <c r="D49" i="22" s="1"/>
  <c r="D50" i="22" s="1"/>
  <c r="D51" i="22" s="1"/>
  <c r="D52" i="22" s="1"/>
  <c r="D53" i="22" s="1"/>
  <c r="D54" i="22" s="1"/>
  <c r="D55" i="22" s="1"/>
  <c r="D56" i="22" s="1"/>
  <c r="D57" i="22" s="1"/>
  <c r="D58" i="22" s="1"/>
  <c r="D59" i="22" s="1"/>
  <c r="D60" i="22" s="1"/>
  <c r="D61" i="22" s="1"/>
  <c r="D62" i="22" s="1"/>
  <c r="D63" i="22" s="1"/>
  <c r="D64" i="22" s="1"/>
  <c r="D65" i="22" s="1"/>
  <c r="D66" i="22"/>
  <c r="D67" i="22"/>
  <c r="D68" i="22" s="1"/>
  <c r="D69" i="22" s="1"/>
  <c r="D70" i="22" s="1"/>
  <c r="D71" i="22" s="1"/>
  <c r="D72" i="22"/>
  <c r="D73" i="22" s="1"/>
  <c r="D74" i="22" s="1"/>
  <c r="D75" i="22" s="1"/>
  <c r="D76" i="22" s="1"/>
  <c r="D77" i="22" s="1"/>
  <c r="E67" i="22"/>
  <c r="E68" i="22"/>
  <c r="E69" i="22"/>
  <c r="E70" i="22"/>
  <c r="E71" i="22"/>
  <c r="C67" i="22"/>
  <c r="C68" i="22"/>
  <c r="C69" i="22"/>
  <c r="C70" i="22"/>
  <c r="C71" i="22"/>
  <c r="E66" i="22"/>
  <c r="C66" i="22"/>
  <c r="E73" i="22"/>
  <c r="E74" i="22"/>
  <c r="E75" i="22"/>
  <c r="E76" i="22"/>
  <c r="E77" i="22"/>
  <c r="E72" i="22"/>
  <c r="C73" i="22"/>
  <c r="C74" i="22"/>
  <c r="C75" i="22"/>
  <c r="C76" i="22"/>
  <c r="C77" i="22"/>
  <c r="C72" i="22"/>
  <c r="E60" i="22"/>
  <c r="E61" i="22"/>
  <c r="E62" i="22"/>
  <c r="E63" i="22"/>
  <c r="E64" i="22"/>
  <c r="E65" i="22"/>
  <c r="E59" i="22"/>
  <c r="C60" i="22"/>
  <c r="C61" i="22"/>
  <c r="C62" i="22"/>
  <c r="C63" i="22"/>
  <c r="C64" i="22"/>
  <c r="C65" i="22"/>
  <c r="C59" i="22"/>
  <c r="E31" i="22"/>
  <c r="E32" i="22"/>
  <c r="E33" i="22"/>
  <c r="E38" i="22"/>
  <c r="E39" i="22"/>
  <c r="E40" i="22"/>
  <c r="E41" i="22"/>
  <c r="E44" i="22"/>
  <c r="E42" i="22"/>
  <c r="E36" i="22"/>
  <c r="E37" i="22"/>
  <c r="E43" i="22"/>
  <c r="E45" i="22"/>
  <c r="E46" i="22"/>
  <c r="E47" i="22"/>
  <c r="E34" i="22"/>
  <c r="E35" i="22"/>
  <c r="E48" i="22"/>
  <c r="E78" i="22"/>
  <c r="E49" i="22"/>
  <c r="E50" i="22"/>
  <c r="E51" i="22"/>
  <c r="E52" i="22"/>
  <c r="E53" i="22"/>
  <c r="E54" i="22"/>
  <c r="E55" i="22"/>
  <c r="E56" i="22"/>
  <c r="E57" i="22"/>
  <c r="E58" i="22"/>
  <c r="C58" i="22"/>
  <c r="C57" i="22"/>
  <c r="C55" i="22"/>
  <c r="C56" i="22"/>
  <c r="C50" i="22"/>
  <c r="C51" i="22"/>
  <c r="C52" i="22"/>
  <c r="C53" i="22"/>
  <c r="C54" i="22"/>
  <c r="C48" i="22"/>
  <c r="C78" i="22"/>
  <c r="C49" i="22"/>
  <c r="C35" i="22"/>
  <c r="C34" i="22"/>
  <c r="C46" i="22"/>
  <c r="C47" i="22"/>
  <c r="C43" i="22"/>
  <c r="C45" i="22"/>
  <c r="C31" i="22"/>
  <c r="C32" i="22"/>
  <c r="C33" i="22"/>
  <c r="C38" i="22"/>
  <c r="C39" i="22"/>
  <c r="C40" i="22"/>
  <c r="C41" i="22"/>
  <c r="C44" i="22"/>
  <c r="C42" i="22"/>
  <c r="C36" i="22"/>
  <c r="C37" i="22"/>
  <c r="D40" i="24"/>
  <c r="D41" i="24"/>
  <c r="D42" i="24" s="1"/>
  <c r="D43" i="24" s="1"/>
  <c r="D44" i="24" s="1"/>
  <c r="D45" i="24" s="1"/>
  <c r="D46" i="24" s="1"/>
  <c r="D47" i="24" s="1"/>
  <c r="D48" i="24" s="1"/>
  <c r="D49" i="24" s="1"/>
  <c r="D50" i="24" s="1"/>
  <c r="D51" i="24" s="1"/>
  <c r="D52" i="24" s="1"/>
  <c r="D53" i="24" s="1"/>
  <c r="D27" i="24"/>
  <c r="D28" i="24" s="1"/>
  <c r="D29" i="24" s="1"/>
  <c r="D30" i="24" s="1"/>
  <c r="D31" i="24" s="1"/>
  <c r="D32" i="24"/>
  <c r="D33" i="24"/>
  <c r="D34" i="24"/>
  <c r="D35" i="24" s="1"/>
  <c r="D36" i="24" s="1"/>
  <c r="D37" i="24" s="1"/>
  <c r="D38" i="24" s="1"/>
  <c r="D39" i="24" s="1"/>
  <c r="E29" i="24"/>
  <c r="E30" i="24"/>
  <c r="E31" i="24"/>
  <c r="C29" i="24"/>
  <c r="C30" i="24"/>
  <c r="C31" i="24"/>
  <c r="D63" i="24"/>
  <c r="E62" i="24"/>
  <c r="C62" i="24"/>
  <c r="E61" i="24"/>
  <c r="D61" i="24"/>
  <c r="D62" i="24" s="1"/>
  <c r="C61" i="24"/>
  <c r="E60" i="24"/>
  <c r="C60" i="24"/>
  <c r="E59" i="24"/>
  <c r="C59" i="24"/>
  <c r="E58" i="24"/>
  <c r="C58" i="24"/>
  <c r="E57" i="24"/>
  <c r="C57" i="24"/>
  <c r="E56" i="24"/>
  <c r="C56" i="24"/>
  <c r="E55" i="24"/>
  <c r="C55" i="24"/>
  <c r="E54" i="24"/>
  <c r="D54" i="24"/>
  <c r="D55" i="24" s="1"/>
  <c r="D56" i="24" s="1"/>
  <c r="D57" i="24" s="1"/>
  <c r="D58" i="24" s="1"/>
  <c r="D59" i="24" s="1"/>
  <c r="D60" i="24" s="1"/>
  <c r="C54" i="24"/>
  <c r="E53" i="24"/>
  <c r="C53" i="24"/>
  <c r="E52" i="24"/>
  <c r="C52" i="24"/>
  <c r="E51" i="24"/>
  <c r="C51" i="24"/>
  <c r="E50" i="24"/>
  <c r="C50" i="24"/>
  <c r="E49" i="24"/>
  <c r="C49" i="24"/>
  <c r="E48" i="24"/>
  <c r="C48" i="24"/>
  <c r="E47" i="24"/>
  <c r="C47" i="24"/>
  <c r="E46" i="24"/>
  <c r="C46" i="24"/>
  <c r="E45" i="24"/>
  <c r="C45" i="24"/>
  <c r="E44" i="24"/>
  <c r="C44" i="24"/>
  <c r="E43" i="24"/>
  <c r="C43" i="24"/>
  <c r="E42" i="24"/>
  <c r="C42" i="24"/>
  <c r="E41" i="24"/>
  <c r="C41" i="24"/>
  <c r="E40" i="24"/>
  <c r="C40" i="24"/>
  <c r="E39" i="24"/>
  <c r="C39" i="24"/>
  <c r="E38" i="24"/>
  <c r="C38" i="24"/>
  <c r="E37" i="24"/>
  <c r="C37" i="24"/>
  <c r="E36" i="24"/>
  <c r="C36" i="24"/>
  <c r="E35" i="24"/>
  <c r="C35" i="24"/>
  <c r="C28" i="24"/>
  <c r="E28" i="24"/>
  <c r="C9" i="24"/>
  <c r="E34" i="24"/>
  <c r="C34" i="24"/>
  <c r="E33" i="24"/>
  <c r="C33" i="24"/>
  <c r="E32" i="24"/>
  <c r="C32" i="24"/>
  <c r="E27" i="24"/>
  <c r="C27" i="24"/>
  <c r="E26" i="24"/>
  <c r="C26" i="24"/>
  <c r="E25" i="24"/>
  <c r="C25" i="24"/>
  <c r="E24" i="24"/>
  <c r="C24" i="24"/>
  <c r="E23" i="24"/>
  <c r="C23" i="24"/>
  <c r="E22" i="24"/>
  <c r="C22" i="24"/>
  <c r="E21" i="24"/>
  <c r="C21" i="24"/>
  <c r="E20" i="24"/>
  <c r="C20" i="24"/>
  <c r="E19" i="24"/>
  <c r="C19" i="24"/>
  <c r="E18" i="24"/>
  <c r="C18" i="24"/>
  <c r="E17" i="24"/>
  <c r="C17" i="24"/>
  <c r="E16" i="24"/>
  <c r="C16" i="24"/>
  <c r="E15" i="24"/>
  <c r="C15" i="24"/>
  <c r="E14" i="24"/>
  <c r="C14" i="24"/>
  <c r="E13" i="24"/>
  <c r="C13" i="24"/>
  <c r="E12" i="24"/>
  <c r="C12" i="24"/>
  <c r="E11" i="24"/>
  <c r="C11" i="24"/>
  <c r="E10" i="24"/>
  <c r="I9" i="24" s="1"/>
  <c r="C10" i="24"/>
  <c r="E9" i="24"/>
  <c r="E8" i="24"/>
  <c r="C8" i="24"/>
  <c r="E7" i="24"/>
  <c r="C7" i="24"/>
  <c r="E6" i="24"/>
  <c r="C6" i="24"/>
  <c r="E5" i="24"/>
  <c r="C5" i="24"/>
  <c r="C4" i="24"/>
  <c r="C3" i="24"/>
  <c r="E30" i="22"/>
  <c r="C30" i="22"/>
  <c r="E27" i="22"/>
  <c r="C27" i="22"/>
  <c r="E26" i="22"/>
  <c r="C26" i="22"/>
  <c r="E25" i="22"/>
  <c r="C25" i="22"/>
  <c r="E24" i="22"/>
  <c r="C24" i="22"/>
  <c r="E23" i="22"/>
  <c r="C23" i="22"/>
  <c r="E22" i="22"/>
  <c r="C22" i="22"/>
  <c r="E21" i="22"/>
  <c r="C21" i="22"/>
  <c r="E20" i="22"/>
  <c r="C20" i="22"/>
  <c r="E19" i="22"/>
  <c r="C19" i="22"/>
  <c r="E18" i="22"/>
  <c r="C18" i="22"/>
  <c r="E17" i="22"/>
  <c r="C17" i="22"/>
  <c r="E16" i="22"/>
  <c r="C16" i="22"/>
  <c r="E15" i="22"/>
  <c r="C15" i="22"/>
  <c r="E14" i="22"/>
  <c r="C14" i="22"/>
  <c r="E13" i="22"/>
  <c r="C13" i="22"/>
  <c r="E12" i="22"/>
  <c r="C12" i="22"/>
  <c r="E11" i="22"/>
  <c r="C11" i="22"/>
  <c r="E10" i="22"/>
  <c r="C10" i="22"/>
  <c r="E9" i="22"/>
  <c r="C9" i="22"/>
  <c r="E8" i="22"/>
  <c r="C8" i="22"/>
  <c r="E7" i="22"/>
  <c r="C7" i="22"/>
  <c r="E6" i="22"/>
  <c r="C6" i="22"/>
  <c r="E5" i="22"/>
  <c r="C5" i="22"/>
  <c r="E4" i="22"/>
  <c r="C4" i="22"/>
  <c r="E3" i="22"/>
  <c r="C3" i="22"/>
  <c r="E2" i="22"/>
  <c r="C2" i="22"/>
  <c r="I18" i="24"/>
  <c r="D11" i="24"/>
  <c r="D12" i="24" s="1"/>
  <c r="D13" i="24" s="1"/>
  <c r="D14" i="24" s="1"/>
  <c r="D15" i="24" s="1"/>
  <c r="D16" i="24" s="1"/>
  <c r="D17" i="24" s="1"/>
  <c r="D18" i="24" s="1"/>
  <c r="D19" i="24" s="1"/>
  <c r="D20" i="24" s="1"/>
  <c r="D21" i="24" s="1"/>
  <c r="D22" i="24" s="1"/>
  <c r="D23" i="24" s="1"/>
  <c r="D24" i="24" s="1"/>
  <c r="D25" i="24" s="1"/>
  <c r="D26" i="24" s="1"/>
  <c r="D10" i="24"/>
  <c r="D5" i="24"/>
  <c r="D6" i="24" s="1"/>
  <c r="D7" i="24" s="1"/>
  <c r="D8" i="24" s="1"/>
  <c r="D9" i="24" s="1"/>
  <c r="D3" i="24"/>
  <c r="D4" i="24" s="1"/>
  <c r="D3" i="22"/>
  <c r="G444" i="20"/>
  <c r="F444" i="20"/>
  <c r="E444" i="20"/>
  <c r="D444" i="20"/>
  <c r="C444" i="20"/>
  <c r="G443" i="20"/>
  <c r="F443" i="20"/>
  <c r="E443" i="20"/>
  <c r="D443" i="20"/>
  <c r="C443" i="20"/>
  <c r="G442" i="20"/>
  <c r="F442" i="20"/>
  <c r="E442" i="20"/>
  <c r="D442" i="20"/>
  <c r="C442" i="20"/>
  <c r="G441" i="20"/>
  <c r="F441" i="20"/>
  <c r="E441" i="20"/>
  <c r="D441" i="20"/>
  <c r="C441" i="20"/>
  <c r="G440" i="20"/>
  <c r="F440" i="20"/>
  <c r="E440" i="20"/>
  <c r="D440" i="20"/>
  <c r="C440" i="20"/>
  <c r="G439" i="20"/>
  <c r="F439" i="20"/>
  <c r="E439" i="20"/>
  <c r="D439" i="20"/>
  <c r="C439" i="20"/>
  <c r="G438" i="20"/>
  <c r="F438" i="20"/>
  <c r="E438" i="20"/>
  <c r="D438" i="20"/>
  <c r="B438" i="20" s="1"/>
  <c r="C438" i="20"/>
  <c r="G437" i="20"/>
  <c r="F437" i="20"/>
  <c r="E437" i="20"/>
  <c r="D437" i="20"/>
  <c r="C437" i="20"/>
  <c r="G436" i="20"/>
  <c r="F436" i="20"/>
  <c r="E436" i="20"/>
  <c r="D436" i="20"/>
  <c r="C436" i="20"/>
  <c r="G435" i="20"/>
  <c r="F435" i="20"/>
  <c r="E435" i="20"/>
  <c r="D435" i="20"/>
  <c r="C435" i="20"/>
  <c r="G434" i="20"/>
  <c r="F434" i="20"/>
  <c r="E434" i="20"/>
  <c r="D434" i="20"/>
  <c r="C434" i="20"/>
  <c r="G433" i="20"/>
  <c r="F433" i="20"/>
  <c r="E433" i="20"/>
  <c r="D433" i="20"/>
  <c r="C433" i="20"/>
  <c r="G432" i="20"/>
  <c r="F432" i="20"/>
  <c r="E432" i="20"/>
  <c r="D432" i="20"/>
  <c r="C432" i="20"/>
  <c r="G431" i="20"/>
  <c r="F431" i="20"/>
  <c r="E431" i="20"/>
  <c r="D431" i="20"/>
  <c r="C431" i="20"/>
  <c r="G430" i="20"/>
  <c r="F430" i="20"/>
  <c r="E430" i="20"/>
  <c r="D430" i="20"/>
  <c r="C430" i="20"/>
  <c r="G429" i="20"/>
  <c r="F429" i="20"/>
  <c r="E429" i="20"/>
  <c r="D429" i="20"/>
  <c r="C429" i="20"/>
  <c r="A429" i="20"/>
  <c r="G428" i="20"/>
  <c r="F428" i="20"/>
  <c r="E428" i="20"/>
  <c r="D428" i="20"/>
  <c r="C428" i="20"/>
  <c r="G427" i="20"/>
  <c r="F427" i="20"/>
  <c r="E427" i="20"/>
  <c r="D427" i="20"/>
  <c r="C427" i="20"/>
  <c r="G426" i="20"/>
  <c r="F426" i="20"/>
  <c r="E426" i="20"/>
  <c r="D426" i="20"/>
  <c r="C426" i="20"/>
  <c r="B426" i="20"/>
  <c r="G425" i="20"/>
  <c r="F425" i="20"/>
  <c r="E425" i="20"/>
  <c r="D425" i="20"/>
  <c r="C425" i="20"/>
  <c r="G424" i="20"/>
  <c r="F424" i="20"/>
  <c r="E424" i="20"/>
  <c r="D424" i="20"/>
  <c r="C424" i="20"/>
  <c r="G423" i="20"/>
  <c r="F423" i="20"/>
  <c r="E423" i="20"/>
  <c r="D423" i="20"/>
  <c r="C423" i="20"/>
  <c r="G422" i="20"/>
  <c r="F422" i="20"/>
  <c r="E422" i="20"/>
  <c r="D422" i="20"/>
  <c r="C422" i="20"/>
  <c r="B422" i="20" s="1"/>
  <c r="G421" i="20"/>
  <c r="F421" i="20"/>
  <c r="E421" i="20"/>
  <c r="D421" i="20"/>
  <c r="C421" i="20"/>
  <c r="G420" i="20"/>
  <c r="F420" i="20"/>
  <c r="E420" i="20"/>
  <c r="D420" i="20"/>
  <c r="C420" i="20"/>
  <c r="G419" i="20"/>
  <c r="F419" i="20"/>
  <c r="E419" i="20"/>
  <c r="D419" i="20"/>
  <c r="C419" i="20"/>
  <c r="G418" i="20"/>
  <c r="F418" i="20"/>
  <c r="E418" i="20"/>
  <c r="D418" i="20"/>
  <c r="C418" i="20"/>
  <c r="B418" i="20" s="1"/>
  <c r="G417" i="20"/>
  <c r="F417" i="20"/>
  <c r="E417" i="20"/>
  <c r="D417" i="20"/>
  <c r="C417" i="20"/>
  <c r="G416" i="20"/>
  <c r="F416" i="20"/>
  <c r="E416" i="20"/>
  <c r="D416" i="20"/>
  <c r="C416" i="20"/>
  <c r="G415" i="20"/>
  <c r="F415" i="20"/>
  <c r="E415" i="20"/>
  <c r="D415" i="20"/>
  <c r="C415" i="20"/>
  <c r="G414" i="20"/>
  <c r="F414" i="20"/>
  <c r="E414" i="20"/>
  <c r="D414" i="20"/>
  <c r="C414" i="20"/>
  <c r="B414" i="20" s="1"/>
  <c r="G413" i="20"/>
  <c r="F413" i="20"/>
  <c r="E413" i="20"/>
  <c r="A413" i="20" s="1"/>
  <c r="D413" i="20"/>
  <c r="C413" i="20"/>
  <c r="G412" i="20"/>
  <c r="F412" i="20"/>
  <c r="E412" i="20"/>
  <c r="D412" i="20"/>
  <c r="C412" i="20"/>
  <c r="G411" i="20"/>
  <c r="F411" i="20"/>
  <c r="E411" i="20"/>
  <c r="D411" i="20"/>
  <c r="C411" i="20"/>
  <c r="G410" i="20"/>
  <c r="F410" i="20"/>
  <c r="E410" i="20"/>
  <c r="D410" i="20"/>
  <c r="C410" i="20"/>
  <c r="B410" i="20"/>
  <c r="G409" i="20"/>
  <c r="F409" i="20"/>
  <c r="E409" i="20"/>
  <c r="D409" i="20"/>
  <c r="C409" i="20"/>
  <c r="G408" i="20"/>
  <c r="F408" i="20"/>
  <c r="E408" i="20"/>
  <c r="D408" i="20"/>
  <c r="C408" i="20"/>
  <c r="G407" i="20"/>
  <c r="F407" i="20"/>
  <c r="E407" i="20"/>
  <c r="D407" i="20"/>
  <c r="C407" i="20"/>
  <c r="G406" i="20"/>
  <c r="F406" i="20"/>
  <c r="E406" i="20"/>
  <c r="D406" i="20"/>
  <c r="C406" i="20"/>
  <c r="B406" i="20" s="1"/>
  <c r="G405" i="20"/>
  <c r="F405" i="20"/>
  <c r="E405" i="20"/>
  <c r="D405" i="20"/>
  <c r="C405" i="20"/>
  <c r="G404" i="20"/>
  <c r="F404" i="20"/>
  <c r="E404" i="20"/>
  <c r="D404" i="20"/>
  <c r="C404" i="20"/>
  <c r="G403" i="20"/>
  <c r="F403" i="20"/>
  <c r="E403" i="20"/>
  <c r="D403" i="20"/>
  <c r="C403" i="20"/>
  <c r="G402" i="20"/>
  <c r="F402" i="20"/>
  <c r="E402" i="20"/>
  <c r="D402" i="20"/>
  <c r="C402" i="20"/>
  <c r="A402" i="20" s="1"/>
  <c r="G401" i="20"/>
  <c r="F401" i="20"/>
  <c r="E401" i="20"/>
  <c r="D401" i="20"/>
  <c r="C401" i="20"/>
  <c r="G400" i="20"/>
  <c r="F400" i="20"/>
  <c r="E400" i="20"/>
  <c r="D400" i="20"/>
  <c r="C400" i="20"/>
  <c r="G399" i="20"/>
  <c r="F399" i="20"/>
  <c r="E399" i="20"/>
  <c r="D399" i="20"/>
  <c r="C399" i="20"/>
  <c r="G398" i="20"/>
  <c r="F398" i="20"/>
  <c r="E398" i="20"/>
  <c r="D398" i="20"/>
  <c r="C398" i="20"/>
  <c r="B398" i="20"/>
  <c r="G397" i="20"/>
  <c r="F397" i="20"/>
  <c r="E397" i="20"/>
  <c r="D397" i="20"/>
  <c r="C397" i="20"/>
  <c r="G396" i="20"/>
  <c r="F396" i="20"/>
  <c r="E396" i="20"/>
  <c r="D396" i="20"/>
  <c r="C396" i="20"/>
  <c r="G395" i="20"/>
  <c r="F395" i="20"/>
  <c r="E395" i="20"/>
  <c r="D395" i="20"/>
  <c r="C395" i="20"/>
  <c r="G394" i="20"/>
  <c r="F394" i="20"/>
  <c r="E394" i="20"/>
  <c r="D394" i="20"/>
  <c r="C394" i="20"/>
  <c r="G393" i="20"/>
  <c r="F393" i="20"/>
  <c r="E393" i="20"/>
  <c r="D393" i="20"/>
  <c r="C393" i="20"/>
  <c r="G392" i="20"/>
  <c r="F392" i="20"/>
  <c r="E392" i="20"/>
  <c r="B392" i="20" s="1"/>
  <c r="D392" i="20"/>
  <c r="C392" i="20"/>
  <c r="G391" i="20"/>
  <c r="F391" i="20"/>
  <c r="E391" i="20"/>
  <c r="D391" i="20"/>
  <c r="C391" i="20"/>
  <c r="G390" i="20"/>
  <c r="F390" i="20"/>
  <c r="E390" i="20"/>
  <c r="D390" i="20"/>
  <c r="C390" i="20"/>
  <c r="G389" i="20"/>
  <c r="F389" i="20"/>
  <c r="E389" i="20"/>
  <c r="D389" i="20"/>
  <c r="C389" i="20"/>
  <c r="G388" i="20"/>
  <c r="F388" i="20"/>
  <c r="E388" i="20"/>
  <c r="D388" i="20"/>
  <c r="C388" i="20"/>
  <c r="G387" i="20"/>
  <c r="F387" i="20"/>
  <c r="E387" i="20"/>
  <c r="D387" i="20"/>
  <c r="C387" i="20"/>
  <c r="G386" i="20"/>
  <c r="F386" i="20"/>
  <c r="E386" i="20"/>
  <c r="D386" i="20"/>
  <c r="B386" i="20" s="1"/>
  <c r="C386" i="20"/>
  <c r="G385" i="20"/>
  <c r="F385" i="20"/>
  <c r="E385" i="20"/>
  <c r="D385" i="20"/>
  <c r="C385" i="20"/>
  <c r="G384" i="20"/>
  <c r="F384" i="20"/>
  <c r="E384" i="20"/>
  <c r="D384" i="20"/>
  <c r="C384" i="20"/>
  <c r="G383" i="20"/>
  <c r="F383" i="20"/>
  <c r="E383" i="20"/>
  <c r="D383" i="20"/>
  <c r="C383" i="20"/>
  <c r="G382" i="20"/>
  <c r="F382" i="20"/>
  <c r="E382" i="20"/>
  <c r="D382" i="20"/>
  <c r="C382" i="20"/>
  <c r="B382" i="20"/>
  <c r="G381" i="20"/>
  <c r="F381" i="20"/>
  <c r="E381" i="20"/>
  <c r="D381" i="20"/>
  <c r="C381" i="20"/>
  <c r="G380" i="20"/>
  <c r="F380" i="20"/>
  <c r="E380" i="20"/>
  <c r="D380" i="20"/>
  <c r="C380" i="20"/>
  <c r="G379" i="20"/>
  <c r="F379" i="20"/>
  <c r="E379" i="20"/>
  <c r="D379" i="20"/>
  <c r="C379" i="20"/>
  <c r="G378" i="20"/>
  <c r="F378" i="20"/>
  <c r="E378" i="20"/>
  <c r="D378" i="20"/>
  <c r="C378" i="20"/>
  <c r="G377" i="20"/>
  <c r="F377" i="20"/>
  <c r="E377" i="20"/>
  <c r="D377" i="20"/>
  <c r="C377" i="20"/>
  <c r="G376" i="20"/>
  <c r="F376" i="20"/>
  <c r="E376" i="20"/>
  <c r="D376" i="20"/>
  <c r="C376" i="20"/>
  <c r="G375" i="20"/>
  <c r="F375" i="20"/>
  <c r="E375" i="20"/>
  <c r="D375" i="20"/>
  <c r="C375" i="20"/>
  <c r="G374" i="20"/>
  <c r="F374" i="20"/>
  <c r="E374" i="20"/>
  <c r="D374" i="20"/>
  <c r="C374" i="20"/>
  <c r="G373" i="20"/>
  <c r="F373" i="20"/>
  <c r="E373" i="20"/>
  <c r="D373" i="20"/>
  <c r="C373" i="20"/>
  <c r="G372" i="20"/>
  <c r="F372" i="20"/>
  <c r="E372" i="20"/>
  <c r="D372" i="20"/>
  <c r="C372" i="20"/>
  <c r="G371" i="20"/>
  <c r="F371" i="20"/>
  <c r="E371" i="20"/>
  <c r="D371" i="20"/>
  <c r="C371" i="20"/>
  <c r="G370" i="20"/>
  <c r="F370" i="20"/>
  <c r="E370" i="20"/>
  <c r="D370" i="20"/>
  <c r="C370" i="20"/>
  <c r="G369" i="20"/>
  <c r="F369" i="20"/>
  <c r="E369" i="20"/>
  <c r="D369" i="20"/>
  <c r="C369" i="20"/>
  <c r="G368" i="20"/>
  <c r="F368" i="20"/>
  <c r="E368" i="20"/>
  <c r="D368" i="20"/>
  <c r="C368" i="20"/>
  <c r="G367" i="20"/>
  <c r="F367" i="20"/>
  <c r="E367" i="20"/>
  <c r="D367" i="20"/>
  <c r="C367" i="20"/>
  <c r="B367" i="20" s="1"/>
  <c r="G366" i="20"/>
  <c r="F366" i="20"/>
  <c r="E366" i="20"/>
  <c r="D366" i="20"/>
  <c r="B366" i="20" s="1"/>
  <c r="C366" i="20"/>
  <c r="G365" i="20"/>
  <c r="F365" i="20"/>
  <c r="E365" i="20"/>
  <c r="D365" i="20"/>
  <c r="C365" i="20"/>
  <c r="G364" i="20"/>
  <c r="F364" i="20"/>
  <c r="E364" i="20"/>
  <c r="D364" i="20"/>
  <c r="C364" i="20"/>
  <c r="B364" i="20" s="1"/>
  <c r="G363" i="20"/>
  <c r="F363" i="20"/>
  <c r="E363" i="20"/>
  <c r="D363" i="20"/>
  <c r="C363" i="20"/>
  <c r="G362" i="20"/>
  <c r="F362" i="20"/>
  <c r="E362" i="20"/>
  <c r="B362" i="20" s="1"/>
  <c r="D362" i="20"/>
  <c r="C362" i="20"/>
  <c r="G361" i="20"/>
  <c r="F361" i="20"/>
  <c r="E361" i="20"/>
  <c r="D361" i="20"/>
  <c r="C361" i="20"/>
  <c r="G360" i="20"/>
  <c r="F360" i="20"/>
  <c r="E360" i="20"/>
  <c r="D360" i="20"/>
  <c r="C360" i="20"/>
  <c r="B360" i="20" s="1"/>
  <c r="G359" i="20"/>
  <c r="F359" i="20"/>
  <c r="E359" i="20"/>
  <c r="D359" i="20"/>
  <c r="C359" i="20"/>
  <c r="G358" i="20"/>
  <c r="F358" i="20"/>
  <c r="E358" i="20"/>
  <c r="D358" i="20"/>
  <c r="C358" i="20"/>
  <c r="B358" i="20" s="1"/>
  <c r="G357" i="20"/>
  <c r="F357" i="20"/>
  <c r="E357" i="20"/>
  <c r="D357" i="20"/>
  <c r="C357" i="20"/>
  <c r="G356" i="20"/>
  <c r="F356" i="20"/>
  <c r="E356" i="20"/>
  <c r="D356" i="20"/>
  <c r="C356" i="20"/>
  <c r="G355" i="20"/>
  <c r="F355" i="20"/>
  <c r="E355" i="20"/>
  <c r="D355" i="20"/>
  <c r="C355" i="20"/>
  <c r="G354" i="20"/>
  <c r="F354" i="20"/>
  <c r="E354" i="20"/>
  <c r="D354" i="20"/>
  <c r="C354" i="20"/>
  <c r="B354" i="20" s="1"/>
  <c r="G353" i="20"/>
  <c r="F353" i="20"/>
  <c r="E353" i="20"/>
  <c r="D353" i="20"/>
  <c r="C353" i="20"/>
  <c r="G352" i="20"/>
  <c r="F352" i="20"/>
  <c r="E352" i="20"/>
  <c r="D352" i="20"/>
  <c r="C352" i="20"/>
  <c r="G351" i="20"/>
  <c r="F351" i="20"/>
  <c r="E351" i="20"/>
  <c r="D351" i="20"/>
  <c r="C351" i="20"/>
  <c r="G350" i="20"/>
  <c r="F350" i="20"/>
  <c r="E350" i="20"/>
  <c r="D350" i="20"/>
  <c r="C350" i="20"/>
  <c r="G349" i="20"/>
  <c r="F349" i="20"/>
  <c r="E349" i="20"/>
  <c r="D349" i="20"/>
  <c r="C349" i="20"/>
  <c r="G348" i="20"/>
  <c r="F348" i="20"/>
  <c r="E348" i="20"/>
  <c r="D348" i="20"/>
  <c r="C348" i="20"/>
  <c r="B348" i="20" s="1"/>
  <c r="G347" i="20"/>
  <c r="F347" i="20"/>
  <c r="E347" i="20"/>
  <c r="D347" i="20"/>
  <c r="C347" i="20"/>
  <c r="G346" i="20"/>
  <c r="F346" i="20"/>
  <c r="E346" i="20"/>
  <c r="D346" i="20"/>
  <c r="C346" i="20"/>
  <c r="G345" i="20"/>
  <c r="F345" i="20"/>
  <c r="E345" i="20"/>
  <c r="D345" i="20"/>
  <c r="C345" i="20"/>
  <c r="G344" i="20"/>
  <c r="F344" i="20"/>
  <c r="E344" i="20"/>
  <c r="D344" i="20"/>
  <c r="C344" i="20"/>
  <c r="G343" i="20"/>
  <c r="F343" i="20"/>
  <c r="E343" i="20"/>
  <c r="D343" i="20"/>
  <c r="C343" i="20"/>
  <c r="G342" i="20"/>
  <c r="F342" i="20"/>
  <c r="E342" i="20"/>
  <c r="D342" i="20"/>
  <c r="C342" i="20"/>
  <c r="G341" i="20"/>
  <c r="F341" i="20"/>
  <c r="E341" i="20"/>
  <c r="D341" i="20"/>
  <c r="C341" i="20"/>
  <c r="G340" i="20"/>
  <c r="F340" i="20"/>
  <c r="E340" i="20"/>
  <c r="D340" i="20"/>
  <c r="C340" i="20"/>
  <c r="G339" i="20"/>
  <c r="F339" i="20"/>
  <c r="E339" i="20"/>
  <c r="D339" i="20"/>
  <c r="C339" i="20"/>
  <c r="G338" i="20"/>
  <c r="F338" i="20"/>
  <c r="E338" i="20"/>
  <c r="D338" i="20"/>
  <c r="C338" i="20"/>
  <c r="B338" i="20"/>
  <c r="G337" i="20"/>
  <c r="F337" i="20"/>
  <c r="E337" i="20"/>
  <c r="D337" i="20"/>
  <c r="C337" i="20"/>
  <c r="G336" i="20"/>
  <c r="F336" i="20"/>
  <c r="E336" i="20"/>
  <c r="D336" i="20"/>
  <c r="C336" i="20"/>
  <c r="G335" i="20"/>
  <c r="F335" i="20"/>
  <c r="E335" i="20"/>
  <c r="D335" i="20"/>
  <c r="C335" i="20"/>
  <c r="G334" i="20"/>
  <c r="F334" i="20"/>
  <c r="E334" i="20"/>
  <c r="D334" i="20"/>
  <c r="C334" i="20"/>
  <c r="B334" i="20" s="1"/>
  <c r="G333" i="20"/>
  <c r="F333" i="20"/>
  <c r="E333" i="20"/>
  <c r="D333" i="20"/>
  <c r="C333" i="20"/>
  <c r="G332" i="20"/>
  <c r="F332" i="20"/>
  <c r="E332" i="20"/>
  <c r="D332" i="20"/>
  <c r="C332" i="20"/>
  <c r="B332" i="20"/>
  <c r="G331" i="20"/>
  <c r="F331" i="20"/>
  <c r="E331" i="20"/>
  <c r="D331" i="20"/>
  <c r="C331" i="20"/>
  <c r="G330" i="20"/>
  <c r="F330" i="20"/>
  <c r="E330" i="20"/>
  <c r="B330" i="20" s="1"/>
  <c r="D330" i="20"/>
  <c r="C330" i="20"/>
  <c r="G329" i="20"/>
  <c r="F329" i="20"/>
  <c r="E329" i="20"/>
  <c r="D329" i="20"/>
  <c r="C329" i="20"/>
  <c r="G328" i="20"/>
  <c r="F328" i="20"/>
  <c r="E328" i="20"/>
  <c r="D328" i="20"/>
  <c r="C328" i="20"/>
  <c r="B328" i="20" s="1"/>
  <c r="G327" i="20"/>
  <c r="F327" i="20"/>
  <c r="E327" i="20"/>
  <c r="D327" i="20"/>
  <c r="C327" i="20"/>
  <c r="G326" i="20"/>
  <c r="F326" i="20"/>
  <c r="E326" i="20"/>
  <c r="D326" i="20"/>
  <c r="C326" i="20"/>
  <c r="B326" i="20" s="1"/>
  <c r="G325" i="20"/>
  <c r="F325" i="20"/>
  <c r="E325" i="20"/>
  <c r="D325" i="20"/>
  <c r="C325" i="20"/>
  <c r="G324" i="20"/>
  <c r="F324" i="20"/>
  <c r="E324" i="20"/>
  <c r="D324" i="20"/>
  <c r="C324" i="20"/>
  <c r="G323" i="20"/>
  <c r="F323" i="20"/>
  <c r="E323" i="20"/>
  <c r="D323" i="20"/>
  <c r="C323" i="20"/>
  <c r="G322" i="20"/>
  <c r="F322" i="20"/>
  <c r="E322" i="20"/>
  <c r="D322" i="20"/>
  <c r="C322" i="20"/>
  <c r="B322" i="20" s="1"/>
  <c r="G321" i="20"/>
  <c r="F321" i="20"/>
  <c r="E321" i="20"/>
  <c r="D321" i="20"/>
  <c r="C321" i="20"/>
  <c r="G320" i="20"/>
  <c r="F320" i="20"/>
  <c r="E320" i="20"/>
  <c r="D320" i="20"/>
  <c r="C320" i="20"/>
  <c r="G319" i="20"/>
  <c r="F319" i="20"/>
  <c r="E319" i="20"/>
  <c r="D319" i="20"/>
  <c r="C319" i="20"/>
  <c r="G318" i="20"/>
  <c r="F318" i="20"/>
  <c r="E318" i="20"/>
  <c r="D318" i="20"/>
  <c r="C318" i="20"/>
  <c r="G317" i="20"/>
  <c r="F317" i="20"/>
  <c r="E317" i="20"/>
  <c r="D317" i="20"/>
  <c r="C317" i="20"/>
  <c r="G316" i="20"/>
  <c r="F316" i="20"/>
  <c r="E316" i="20"/>
  <c r="D316" i="20"/>
  <c r="C316" i="20"/>
  <c r="B316" i="20" s="1"/>
  <c r="G315" i="20"/>
  <c r="F315" i="20"/>
  <c r="E315" i="20"/>
  <c r="D315" i="20"/>
  <c r="C315" i="20"/>
  <c r="G314" i="20"/>
  <c r="F314" i="20"/>
  <c r="E314" i="20"/>
  <c r="D314" i="20"/>
  <c r="C314" i="20"/>
  <c r="G313" i="20"/>
  <c r="F313" i="20"/>
  <c r="E313" i="20"/>
  <c r="D313" i="20"/>
  <c r="C313" i="20"/>
  <c r="G312" i="20"/>
  <c r="F312" i="20"/>
  <c r="E312" i="20"/>
  <c r="D312" i="20"/>
  <c r="C312" i="20"/>
  <c r="G311" i="20"/>
  <c r="F311" i="20"/>
  <c r="E311" i="20"/>
  <c r="D311" i="20"/>
  <c r="C311" i="20"/>
  <c r="G310" i="20"/>
  <c r="F310" i="20"/>
  <c r="E310" i="20"/>
  <c r="D310" i="20"/>
  <c r="C310" i="20"/>
  <c r="G309" i="20"/>
  <c r="F309" i="20"/>
  <c r="E309" i="20"/>
  <c r="D309" i="20"/>
  <c r="C309" i="20"/>
  <c r="G308" i="20"/>
  <c r="F308" i="20"/>
  <c r="E308" i="20"/>
  <c r="D308" i="20"/>
  <c r="C308" i="20"/>
  <c r="G307" i="20"/>
  <c r="F307" i="20"/>
  <c r="E307" i="20"/>
  <c r="D307" i="20"/>
  <c r="C307" i="20"/>
  <c r="G306" i="20"/>
  <c r="F306" i="20"/>
  <c r="B306" i="20" s="1"/>
  <c r="E306" i="20"/>
  <c r="D306" i="20"/>
  <c r="C306" i="20"/>
  <c r="G305" i="20"/>
  <c r="F305" i="20"/>
  <c r="E305" i="20"/>
  <c r="D305" i="20"/>
  <c r="C305" i="20"/>
  <c r="G304" i="20"/>
  <c r="F304" i="20"/>
  <c r="E304" i="20"/>
  <c r="D304" i="20"/>
  <c r="C304" i="20"/>
  <c r="G303" i="20"/>
  <c r="F303" i="20"/>
  <c r="E303" i="20"/>
  <c r="D303" i="20"/>
  <c r="C303" i="20"/>
  <c r="G302" i="20"/>
  <c r="F302" i="20"/>
  <c r="E302" i="20"/>
  <c r="D302" i="20"/>
  <c r="C302" i="20"/>
  <c r="B302" i="20" s="1"/>
  <c r="G301" i="20"/>
  <c r="F301" i="20"/>
  <c r="E301" i="20"/>
  <c r="D301" i="20"/>
  <c r="C301" i="20"/>
  <c r="G300" i="20"/>
  <c r="F300" i="20"/>
  <c r="E300" i="20"/>
  <c r="D300" i="20"/>
  <c r="C300" i="20"/>
  <c r="B300" i="20"/>
  <c r="G299" i="20"/>
  <c r="F299" i="20"/>
  <c r="E299" i="20"/>
  <c r="D299" i="20"/>
  <c r="C299" i="20"/>
  <c r="G298" i="20"/>
  <c r="F298" i="20"/>
  <c r="E298" i="20"/>
  <c r="B298" i="20" s="1"/>
  <c r="D298" i="20"/>
  <c r="C298" i="20"/>
  <c r="G297" i="20"/>
  <c r="F297" i="20"/>
  <c r="E297" i="20"/>
  <c r="D297" i="20"/>
  <c r="C297" i="20"/>
  <c r="G296" i="20"/>
  <c r="F296" i="20"/>
  <c r="E296" i="20"/>
  <c r="D296" i="20"/>
  <c r="C296" i="20"/>
  <c r="B296" i="20" s="1"/>
  <c r="G295" i="20"/>
  <c r="F295" i="20"/>
  <c r="E295" i="20"/>
  <c r="D295" i="20"/>
  <c r="C295" i="20"/>
  <c r="G294" i="20"/>
  <c r="F294" i="20"/>
  <c r="E294" i="20"/>
  <c r="D294" i="20"/>
  <c r="C294" i="20"/>
  <c r="B294" i="20" s="1"/>
  <c r="G293" i="20"/>
  <c r="F293" i="20"/>
  <c r="E293" i="20"/>
  <c r="D293" i="20"/>
  <c r="C293" i="20"/>
  <c r="G292" i="20"/>
  <c r="F292" i="20"/>
  <c r="E292" i="20"/>
  <c r="D292" i="20"/>
  <c r="C292" i="20"/>
  <c r="G291" i="20"/>
  <c r="F291" i="20"/>
  <c r="E291" i="20"/>
  <c r="D291" i="20"/>
  <c r="C291" i="20"/>
  <c r="G290" i="20"/>
  <c r="F290" i="20"/>
  <c r="E290" i="20"/>
  <c r="D290" i="20"/>
  <c r="C290" i="20"/>
  <c r="B290" i="20" s="1"/>
  <c r="G289" i="20"/>
  <c r="F289" i="20"/>
  <c r="E289" i="20"/>
  <c r="D289" i="20"/>
  <c r="C289" i="20"/>
  <c r="G288" i="20"/>
  <c r="F288" i="20"/>
  <c r="E288" i="20"/>
  <c r="D288" i="20"/>
  <c r="C288" i="20"/>
  <c r="G287" i="20"/>
  <c r="F287" i="20"/>
  <c r="E287" i="20"/>
  <c r="D287" i="20"/>
  <c r="C287" i="20"/>
  <c r="G286" i="20"/>
  <c r="F286" i="20"/>
  <c r="E286" i="20"/>
  <c r="D286" i="20"/>
  <c r="C286" i="20"/>
  <c r="G285" i="20"/>
  <c r="F285" i="20"/>
  <c r="E285" i="20"/>
  <c r="D285" i="20"/>
  <c r="C285" i="20"/>
  <c r="G284" i="20"/>
  <c r="F284" i="20"/>
  <c r="E284" i="20"/>
  <c r="D284" i="20"/>
  <c r="C284" i="20"/>
  <c r="B284" i="20" s="1"/>
  <c r="G283" i="20"/>
  <c r="F283" i="20"/>
  <c r="E283" i="20"/>
  <c r="D283" i="20"/>
  <c r="C283" i="20"/>
  <c r="G282" i="20"/>
  <c r="F282" i="20"/>
  <c r="E282" i="20"/>
  <c r="D282" i="20"/>
  <c r="C282" i="20"/>
  <c r="G281" i="20"/>
  <c r="F281" i="20"/>
  <c r="E281" i="20"/>
  <c r="D281" i="20"/>
  <c r="C281" i="20"/>
  <c r="A281" i="20" s="1"/>
  <c r="G280" i="20"/>
  <c r="F280" i="20"/>
  <c r="E280" i="20"/>
  <c r="D280" i="20"/>
  <c r="C280" i="20"/>
  <c r="G279" i="20"/>
  <c r="F279" i="20"/>
  <c r="E279" i="20"/>
  <c r="A279" i="20" s="1"/>
  <c r="D279" i="20"/>
  <c r="C279" i="20"/>
  <c r="G278" i="20"/>
  <c r="F278" i="20"/>
  <c r="E278" i="20"/>
  <c r="D278" i="20"/>
  <c r="C278" i="20"/>
  <c r="G277" i="20"/>
  <c r="F277" i="20"/>
  <c r="E277" i="20"/>
  <c r="D277" i="20"/>
  <c r="C277" i="20"/>
  <c r="G276" i="20"/>
  <c r="F276" i="20"/>
  <c r="E276" i="20"/>
  <c r="D276" i="20"/>
  <c r="C276" i="20"/>
  <c r="G275" i="20"/>
  <c r="F275" i="20"/>
  <c r="E275" i="20"/>
  <c r="D275" i="20"/>
  <c r="C275" i="20"/>
  <c r="G274" i="20"/>
  <c r="F274" i="20"/>
  <c r="E274" i="20"/>
  <c r="D274" i="20"/>
  <c r="C274" i="20"/>
  <c r="G273" i="20"/>
  <c r="F273" i="20"/>
  <c r="E273" i="20"/>
  <c r="D273" i="20"/>
  <c r="C273" i="20"/>
  <c r="G272" i="20"/>
  <c r="F272" i="20"/>
  <c r="E272" i="20"/>
  <c r="D272" i="20"/>
  <c r="C272" i="20"/>
  <c r="G271" i="20"/>
  <c r="F271" i="20"/>
  <c r="E271" i="20"/>
  <c r="D271" i="20"/>
  <c r="C271" i="20"/>
  <c r="G270" i="20"/>
  <c r="F270" i="20"/>
  <c r="E270" i="20"/>
  <c r="D270" i="20"/>
  <c r="C270" i="20"/>
  <c r="G269" i="20"/>
  <c r="F269" i="20"/>
  <c r="E269" i="20"/>
  <c r="D269" i="20"/>
  <c r="C269" i="20"/>
  <c r="G268" i="20"/>
  <c r="F268" i="20"/>
  <c r="E268" i="20"/>
  <c r="D268" i="20"/>
  <c r="C268" i="20"/>
  <c r="G267" i="20"/>
  <c r="F267" i="20"/>
  <c r="E267" i="20"/>
  <c r="D267" i="20"/>
  <c r="C267" i="20"/>
  <c r="G266" i="20"/>
  <c r="F266" i="20"/>
  <c r="E266" i="20"/>
  <c r="D266" i="20"/>
  <c r="C266" i="20"/>
  <c r="B266" i="20" s="1"/>
  <c r="G265" i="20"/>
  <c r="F265" i="20"/>
  <c r="E265" i="20"/>
  <c r="D265" i="20"/>
  <c r="C265" i="20"/>
  <c r="G264" i="20"/>
  <c r="F264" i="20"/>
  <c r="E264" i="20"/>
  <c r="D264" i="20"/>
  <c r="C264" i="20"/>
  <c r="G263" i="20"/>
  <c r="F263" i="20"/>
  <c r="E263" i="20"/>
  <c r="D263" i="20"/>
  <c r="C263" i="20"/>
  <c r="G262" i="20"/>
  <c r="F262" i="20"/>
  <c r="E262" i="20"/>
  <c r="D262" i="20"/>
  <c r="C262" i="20"/>
  <c r="G261" i="20"/>
  <c r="F261" i="20"/>
  <c r="E261" i="20"/>
  <c r="D261" i="20"/>
  <c r="C261" i="20"/>
  <c r="G260" i="20"/>
  <c r="F260" i="20"/>
  <c r="E260" i="20"/>
  <c r="D260" i="20"/>
  <c r="C260" i="20"/>
  <c r="B260" i="20" s="1"/>
  <c r="G259" i="20"/>
  <c r="F259" i="20"/>
  <c r="E259" i="20"/>
  <c r="D259" i="20"/>
  <c r="C259" i="20"/>
  <c r="G258" i="20"/>
  <c r="F258" i="20"/>
  <c r="E258" i="20"/>
  <c r="D258" i="20"/>
  <c r="C258" i="20"/>
  <c r="G257" i="20"/>
  <c r="F257" i="20"/>
  <c r="E257" i="20"/>
  <c r="D257" i="20"/>
  <c r="C257" i="20"/>
  <c r="G256" i="20"/>
  <c r="F256" i="20"/>
  <c r="E256" i="20"/>
  <c r="D256" i="20"/>
  <c r="C256" i="20"/>
  <c r="B256" i="20" s="1"/>
  <c r="G255" i="20"/>
  <c r="F255" i="20"/>
  <c r="E255" i="20"/>
  <c r="D255" i="20"/>
  <c r="B255" i="20" s="1"/>
  <c r="C255" i="20"/>
  <c r="G254" i="20"/>
  <c r="F254" i="20"/>
  <c r="E254" i="20"/>
  <c r="D254" i="20"/>
  <c r="C254" i="20"/>
  <c r="G253" i="20"/>
  <c r="F253" i="20"/>
  <c r="E253" i="20"/>
  <c r="D253" i="20"/>
  <c r="C253" i="20"/>
  <c r="G252" i="20"/>
  <c r="F252" i="20"/>
  <c r="E252" i="20"/>
  <c r="D252" i="20"/>
  <c r="C252" i="20"/>
  <c r="G251" i="20"/>
  <c r="F251" i="20"/>
  <c r="E251" i="20"/>
  <c r="D251" i="20"/>
  <c r="C251" i="20"/>
  <c r="G250" i="20"/>
  <c r="F250" i="20"/>
  <c r="E250" i="20"/>
  <c r="D250" i="20"/>
  <c r="C250" i="20"/>
  <c r="A250" i="20"/>
  <c r="G249" i="20"/>
  <c r="F249" i="20"/>
  <c r="E249" i="20"/>
  <c r="D249" i="20"/>
  <c r="C249" i="20"/>
  <c r="G248" i="20"/>
  <c r="F248" i="20"/>
  <c r="E248" i="20"/>
  <c r="D248" i="20"/>
  <c r="C248" i="20"/>
  <c r="G247" i="20"/>
  <c r="F247" i="20"/>
  <c r="B247" i="20" s="1"/>
  <c r="E247" i="20"/>
  <c r="D247" i="20"/>
  <c r="C247" i="20"/>
  <c r="G246" i="20"/>
  <c r="F246" i="20"/>
  <c r="E246" i="20"/>
  <c r="D246" i="20"/>
  <c r="C246" i="20"/>
  <c r="G245" i="20"/>
  <c r="F245" i="20"/>
  <c r="E245" i="20"/>
  <c r="D245" i="20"/>
  <c r="C245" i="20"/>
  <c r="G244" i="20"/>
  <c r="F244" i="20"/>
  <c r="E244" i="20"/>
  <c r="D244" i="20"/>
  <c r="C244" i="20"/>
  <c r="G243" i="20"/>
  <c r="F243" i="20"/>
  <c r="E243" i="20"/>
  <c r="D243" i="20"/>
  <c r="C243" i="20"/>
  <c r="B243" i="20" s="1"/>
  <c r="G242" i="20"/>
  <c r="F242" i="20"/>
  <c r="E242" i="20"/>
  <c r="A242" i="20" s="1"/>
  <c r="D242" i="20"/>
  <c r="C242" i="20"/>
  <c r="G241" i="20"/>
  <c r="F241" i="20"/>
  <c r="E241" i="20"/>
  <c r="D241" i="20"/>
  <c r="C241" i="20"/>
  <c r="G240" i="20"/>
  <c r="F240" i="20"/>
  <c r="E240" i="20"/>
  <c r="D240" i="20"/>
  <c r="B240" i="20" s="1"/>
  <c r="C240" i="20"/>
  <c r="G239" i="20"/>
  <c r="F239" i="20"/>
  <c r="E239" i="20"/>
  <c r="D239" i="20"/>
  <c r="C239" i="20"/>
  <c r="B239" i="20" s="1"/>
  <c r="G238" i="20"/>
  <c r="F238" i="20"/>
  <c r="E238" i="20"/>
  <c r="D238" i="20"/>
  <c r="C238" i="20"/>
  <c r="G237" i="20"/>
  <c r="F237" i="20"/>
  <c r="E237" i="20"/>
  <c r="D237" i="20"/>
  <c r="C237" i="20"/>
  <c r="G236" i="20"/>
  <c r="F236" i="20"/>
  <c r="E236" i="20"/>
  <c r="D236" i="20"/>
  <c r="C236" i="20"/>
  <c r="B236" i="20" s="1"/>
  <c r="G235" i="20"/>
  <c r="F235" i="20"/>
  <c r="E235" i="20"/>
  <c r="D235" i="20"/>
  <c r="C235" i="20"/>
  <c r="G234" i="20"/>
  <c r="F234" i="20"/>
  <c r="E234" i="20"/>
  <c r="D234" i="20"/>
  <c r="C234" i="20"/>
  <c r="G233" i="20"/>
  <c r="F233" i="20"/>
  <c r="E233" i="20"/>
  <c r="D233" i="20"/>
  <c r="C233" i="20"/>
  <c r="G232" i="20"/>
  <c r="F232" i="20"/>
  <c r="E232" i="20"/>
  <c r="D232" i="20"/>
  <c r="C232" i="20"/>
  <c r="G231" i="20"/>
  <c r="F231" i="20"/>
  <c r="E231" i="20"/>
  <c r="D231" i="20"/>
  <c r="C231" i="20"/>
  <c r="G230" i="20"/>
  <c r="F230" i="20"/>
  <c r="E230" i="20"/>
  <c r="D230" i="20"/>
  <c r="C230" i="20"/>
  <c r="G229" i="20"/>
  <c r="F229" i="20"/>
  <c r="E229" i="20"/>
  <c r="D229" i="20"/>
  <c r="C229" i="20"/>
  <c r="G228" i="20"/>
  <c r="F228" i="20"/>
  <c r="E228" i="20"/>
  <c r="D228" i="20"/>
  <c r="C228" i="20"/>
  <c r="G227" i="20"/>
  <c r="F227" i="20"/>
  <c r="E227" i="20"/>
  <c r="D227" i="20"/>
  <c r="C227" i="20"/>
  <c r="G226" i="20"/>
  <c r="F226" i="20"/>
  <c r="E226" i="20"/>
  <c r="D226" i="20"/>
  <c r="C226" i="20"/>
  <c r="B226" i="20" s="1"/>
  <c r="G225" i="20"/>
  <c r="F225" i="20"/>
  <c r="E225" i="20"/>
  <c r="D225" i="20"/>
  <c r="C225" i="20"/>
  <c r="G224" i="20"/>
  <c r="F224" i="20"/>
  <c r="E224" i="20"/>
  <c r="D224" i="20"/>
  <c r="C224" i="20"/>
  <c r="G223" i="20"/>
  <c r="F223" i="20"/>
  <c r="E223" i="20"/>
  <c r="D223" i="20"/>
  <c r="C223" i="20"/>
  <c r="B223" i="20"/>
  <c r="G222" i="20"/>
  <c r="F222" i="20"/>
  <c r="E222" i="20"/>
  <c r="D222" i="20"/>
  <c r="C222" i="20"/>
  <c r="G221" i="20"/>
  <c r="F221" i="20"/>
  <c r="E221" i="20"/>
  <c r="D221" i="20"/>
  <c r="C221" i="20"/>
  <c r="G220" i="20"/>
  <c r="F220" i="20"/>
  <c r="A220" i="20" s="1"/>
  <c r="E220" i="20"/>
  <c r="D220" i="20"/>
  <c r="C220" i="20"/>
  <c r="G219" i="20"/>
  <c r="F219" i="20"/>
  <c r="E219" i="20"/>
  <c r="D219" i="20"/>
  <c r="C219" i="20"/>
  <c r="G218" i="20"/>
  <c r="F218" i="20"/>
  <c r="E218" i="20"/>
  <c r="D218" i="20"/>
  <c r="C218" i="20"/>
  <c r="G217" i="20"/>
  <c r="F217" i="20"/>
  <c r="E217" i="20"/>
  <c r="D217" i="20"/>
  <c r="C217" i="20"/>
  <c r="G216" i="20"/>
  <c r="F216" i="20"/>
  <c r="E216" i="20"/>
  <c r="D216" i="20"/>
  <c r="C216" i="20"/>
  <c r="G215" i="20"/>
  <c r="F215" i="20"/>
  <c r="E215" i="20"/>
  <c r="D215" i="20"/>
  <c r="C215" i="20"/>
  <c r="G214" i="20"/>
  <c r="F214" i="20"/>
  <c r="E214" i="20"/>
  <c r="D214" i="20"/>
  <c r="C214" i="20"/>
  <c r="G213" i="20"/>
  <c r="F213" i="20"/>
  <c r="E213" i="20"/>
  <c r="D213" i="20"/>
  <c r="C213" i="20"/>
  <c r="G212" i="20"/>
  <c r="F212" i="20"/>
  <c r="E212" i="20"/>
  <c r="D212" i="20"/>
  <c r="C212" i="20"/>
  <c r="G211" i="20"/>
  <c r="F211" i="20"/>
  <c r="E211" i="20"/>
  <c r="D211" i="20"/>
  <c r="C211" i="20"/>
  <c r="G210" i="20"/>
  <c r="F210" i="20"/>
  <c r="E210" i="20"/>
  <c r="D210" i="20"/>
  <c r="C210" i="20"/>
  <c r="G209" i="20"/>
  <c r="F209" i="20"/>
  <c r="E209" i="20"/>
  <c r="D209" i="20"/>
  <c r="C209" i="20"/>
  <c r="G208" i="20"/>
  <c r="F208" i="20"/>
  <c r="E208" i="20"/>
  <c r="D208" i="20"/>
  <c r="C208" i="20"/>
  <c r="B208" i="20" s="1"/>
  <c r="G207" i="20"/>
  <c r="F207" i="20"/>
  <c r="E207" i="20"/>
  <c r="D207" i="20"/>
  <c r="C207" i="20"/>
  <c r="G206" i="20"/>
  <c r="F206" i="20"/>
  <c r="E206" i="20"/>
  <c r="D206" i="20"/>
  <c r="C206" i="20"/>
  <c r="G205" i="20"/>
  <c r="F205" i="20"/>
  <c r="E205" i="20"/>
  <c r="D205" i="20"/>
  <c r="C205" i="20"/>
  <c r="A205" i="20" s="1"/>
  <c r="G204" i="20"/>
  <c r="F204" i="20"/>
  <c r="E204" i="20"/>
  <c r="D204" i="20"/>
  <c r="C204" i="20"/>
  <c r="G203" i="20"/>
  <c r="F203" i="20"/>
  <c r="E203" i="20"/>
  <c r="D203" i="20"/>
  <c r="C203" i="20"/>
  <c r="G202" i="20"/>
  <c r="F202" i="20"/>
  <c r="E202" i="20"/>
  <c r="D202" i="20"/>
  <c r="C202" i="20"/>
  <c r="G201" i="20"/>
  <c r="F201" i="20"/>
  <c r="E201" i="20"/>
  <c r="D201" i="20"/>
  <c r="C201" i="20"/>
  <c r="G200" i="20"/>
  <c r="F200" i="20"/>
  <c r="E200" i="20"/>
  <c r="D200" i="20"/>
  <c r="C200" i="20"/>
  <c r="G199" i="20"/>
  <c r="F199" i="20"/>
  <c r="E199" i="20"/>
  <c r="D199" i="20"/>
  <c r="C199" i="20"/>
  <c r="G198" i="20"/>
  <c r="F198" i="20"/>
  <c r="E198" i="20"/>
  <c r="D198" i="20"/>
  <c r="C198" i="20"/>
  <c r="G197" i="20"/>
  <c r="F197" i="20"/>
  <c r="E197" i="20"/>
  <c r="D197" i="20"/>
  <c r="C197" i="20"/>
  <c r="A197" i="20" s="1"/>
  <c r="G196" i="20"/>
  <c r="F196" i="20"/>
  <c r="E196" i="20"/>
  <c r="D196" i="20"/>
  <c r="B196" i="20" s="1"/>
  <c r="C196" i="20"/>
  <c r="G195" i="20"/>
  <c r="F195" i="20"/>
  <c r="E195" i="20"/>
  <c r="D195" i="20"/>
  <c r="C195" i="20"/>
  <c r="G194" i="20"/>
  <c r="F194" i="20"/>
  <c r="E194" i="20"/>
  <c r="D194" i="20"/>
  <c r="C194" i="20"/>
  <c r="G193" i="20"/>
  <c r="F193" i="20"/>
  <c r="E193" i="20"/>
  <c r="D193" i="20"/>
  <c r="C193" i="20"/>
  <c r="G192" i="20"/>
  <c r="F192" i="20"/>
  <c r="E192" i="20"/>
  <c r="D192" i="20"/>
  <c r="C192" i="20"/>
  <c r="G191" i="20"/>
  <c r="F191" i="20"/>
  <c r="E191" i="20"/>
  <c r="D191" i="20"/>
  <c r="C191" i="20"/>
  <c r="G190" i="20"/>
  <c r="F190" i="20"/>
  <c r="E190" i="20"/>
  <c r="D190" i="20"/>
  <c r="C190" i="20"/>
  <c r="G189" i="20"/>
  <c r="F189" i="20"/>
  <c r="E189" i="20"/>
  <c r="D189" i="20"/>
  <c r="C189" i="20"/>
  <c r="G188" i="20"/>
  <c r="F188" i="20"/>
  <c r="E188" i="20"/>
  <c r="D188" i="20"/>
  <c r="C188" i="20"/>
  <c r="B188" i="20"/>
  <c r="G187" i="20"/>
  <c r="F187" i="20"/>
  <c r="E187" i="20"/>
  <c r="D187" i="20"/>
  <c r="C187" i="20"/>
  <c r="G186" i="20"/>
  <c r="F186" i="20"/>
  <c r="E186" i="20"/>
  <c r="D186" i="20"/>
  <c r="C186" i="20"/>
  <c r="G185" i="20"/>
  <c r="F185" i="20"/>
  <c r="E185" i="20"/>
  <c r="D185" i="20"/>
  <c r="C185" i="20"/>
  <c r="G184" i="20"/>
  <c r="F184" i="20"/>
  <c r="E184" i="20"/>
  <c r="D184" i="20"/>
  <c r="C184" i="20"/>
  <c r="B184" i="20" s="1"/>
  <c r="G183" i="20"/>
  <c r="F183" i="20"/>
  <c r="E183" i="20"/>
  <c r="D183" i="20"/>
  <c r="C183" i="20"/>
  <c r="G182" i="20"/>
  <c r="F182" i="20"/>
  <c r="E182" i="20"/>
  <c r="D182" i="20"/>
  <c r="C182" i="20"/>
  <c r="G181" i="20"/>
  <c r="F181" i="20"/>
  <c r="E181" i="20"/>
  <c r="D181" i="20"/>
  <c r="C181" i="20"/>
  <c r="G180" i="20"/>
  <c r="F180" i="20"/>
  <c r="E180" i="20"/>
  <c r="D180" i="20"/>
  <c r="C180" i="20"/>
  <c r="G179" i="20"/>
  <c r="F179" i="20"/>
  <c r="E179" i="20"/>
  <c r="D179" i="20"/>
  <c r="C179" i="20"/>
  <c r="G178" i="20"/>
  <c r="F178" i="20"/>
  <c r="E178" i="20"/>
  <c r="D178" i="20"/>
  <c r="C178" i="20"/>
  <c r="G177" i="20"/>
  <c r="F177" i="20"/>
  <c r="E177" i="20"/>
  <c r="D177" i="20"/>
  <c r="C177" i="20"/>
  <c r="A177" i="20" s="1"/>
  <c r="G176" i="20"/>
  <c r="F176" i="20"/>
  <c r="E176" i="20"/>
  <c r="D176" i="20"/>
  <c r="C176" i="20"/>
  <c r="G175" i="20"/>
  <c r="F175" i="20"/>
  <c r="E175" i="20"/>
  <c r="D175" i="20"/>
  <c r="C175" i="20"/>
  <c r="G174" i="20"/>
  <c r="F174" i="20"/>
  <c r="E174" i="20"/>
  <c r="D174" i="20"/>
  <c r="C174" i="20"/>
  <c r="G173" i="20"/>
  <c r="F173" i="20"/>
  <c r="E173" i="20"/>
  <c r="D173" i="20"/>
  <c r="C173" i="20"/>
  <c r="G172" i="20"/>
  <c r="F172" i="20"/>
  <c r="E172" i="20"/>
  <c r="B172" i="20" s="1"/>
  <c r="D172" i="20"/>
  <c r="C172" i="20"/>
  <c r="G171" i="20"/>
  <c r="F171" i="20"/>
  <c r="E171" i="20"/>
  <c r="D171" i="20"/>
  <c r="C171" i="20"/>
  <c r="G170" i="20"/>
  <c r="F170" i="20"/>
  <c r="E170" i="20"/>
  <c r="D170" i="20"/>
  <c r="C170" i="20"/>
  <c r="G169" i="20"/>
  <c r="F169" i="20"/>
  <c r="E169" i="20"/>
  <c r="D169" i="20"/>
  <c r="C169" i="20"/>
  <c r="G168" i="20"/>
  <c r="F168" i="20"/>
  <c r="E168" i="20"/>
  <c r="D168" i="20"/>
  <c r="C168" i="20"/>
  <c r="G167" i="20"/>
  <c r="F167" i="20"/>
  <c r="E167" i="20"/>
  <c r="D167" i="20"/>
  <c r="C167" i="20"/>
  <c r="G166" i="20"/>
  <c r="F166" i="20"/>
  <c r="E166" i="20"/>
  <c r="D166" i="20"/>
  <c r="C166" i="20"/>
  <c r="G165" i="20"/>
  <c r="F165" i="20"/>
  <c r="E165" i="20"/>
  <c r="D165" i="20"/>
  <c r="C165" i="20"/>
  <c r="G164" i="20"/>
  <c r="F164" i="20"/>
  <c r="E164" i="20"/>
  <c r="D164" i="20"/>
  <c r="C164" i="20"/>
  <c r="G163" i="20"/>
  <c r="F163" i="20"/>
  <c r="E163" i="20"/>
  <c r="D163" i="20"/>
  <c r="C163" i="20"/>
  <c r="G162" i="20"/>
  <c r="F162" i="20"/>
  <c r="E162" i="20"/>
  <c r="D162" i="20"/>
  <c r="C162" i="20"/>
  <c r="G161" i="20"/>
  <c r="F161" i="20"/>
  <c r="E161" i="20"/>
  <c r="D161" i="20"/>
  <c r="C161" i="20"/>
  <c r="G160" i="20"/>
  <c r="F160" i="20"/>
  <c r="E160" i="20"/>
  <c r="D160" i="20"/>
  <c r="C160" i="20"/>
  <c r="G159" i="20"/>
  <c r="F159" i="20"/>
  <c r="E159" i="20"/>
  <c r="D159" i="20"/>
  <c r="C159" i="20"/>
  <c r="G158" i="20"/>
  <c r="F158" i="20"/>
  <c r="E158" i="20"/>
  <c r="D158" i="20"/>
  <c r="C158" i="20"/>
  <c r="G157" i="20"/>
  <c r="F157" i="20"/>
  <c r="E157" i="20"/>
  <c r="D157" i="20"/>
  <c r="C157" i="20"/>
  <c r="G156" i="20"/>
  <c r="F156" i="20"/>
  <c r="E156" i="20"/>
  <c r="D156" i="20"/>
  <c r="C156" i="20"/>
  <c r="G155" i="20"/>
  <c r="F155" i="20"/>
  <c r="E155" i="20"/>
  <c r="D155" i="20"/>
  <c r="C155" i="20"/>
  <c r="G154" i="20"/>
  <c r="F154" i="20"/>
  <c r="E154" i="20"/>
  <c r="D154" i="20"/>
  <c r="C154" i="20"/>
  <c r="G153" i="20"/>
  <c r="F153" i="20"/>
  <c r="E153" i="20"/>
  <c r="D153" i="20"/>
  <c r="C153" i="20"/>
  <c r="G152" i="20"/>
  <c r="F152" i="20"/>
  <c r="E152" i="20"/>
  <c r="D152" i="20"/>
  <c r="C152" i="20"/>
  <c r="G151" i="20"/>
  <c r="F151" i="20"/>
  <c r="E151" i="20"/>
  <c r="D151" i="20"/>
  <c r="C151" i="20"/>
  <c r="G150" i="20"/>
  <c r="F150" i="20"/>
  <c r="E150" i="20"/>
  <c r="D150" i="20"/>
  <c r="C150" i="20"/>
  <c r="G149" i="20"/>
  <c r="F149" i="20"/>
  <c r="E149" i="20"/>
  <c r="D149" i="20"/>
  <c r="C149" i="20"/>
  <c r="G148" i="20"/>
  <c r="F148" i="20"/>
  <c r="E148" i="20"/>
  <c r="D148" i="20"/>
  <c r="C148" i="20"/>
  <c r="G147" i="20"/>
  <c r="F147" i="20"/>
  <c r="E147" i="20"/>
  <c r="D147" i="20"/>
  <c r="C147" i="20"/>
  <c r="G146" i="20"/>
  <c r="F146" i="20"/>
  <c r="E146" i="20"/>
  <c r="D146" i="20"/>
  <c r="C146" i="20"/>
  <c r="G145" i="20"/>
  <c r="F145" i="20"/>
  <c r="E145" i="20"/>
  <c r="D145" i="20"/>
  <c r="C145" i="20"/>
  <c r="G144" i="20"/>
  <c r="F144" i="20"/>
  <c r="E144" i="20"/>
  <c r="D144" i="20"/>
  <c r="C144" i="20"/>
  <c r="G143" i="20"/>
  <c r="F143" i="20"/>
  <c r="E143" i="20"/>
  <c r="D143" i="20"/>
  <c r="C143" i="20"/>
  <c r="G142" i="20"/>
  <c r="F142" i="20"/>
  <c r="E142" i="20"/>
  <c r="D142" i="20"/>
  <c r="C142" i="20"/>
  <c r="G141" i="20"/>
  <c r="F141" i="20"/>
  <c r="E141" i="20"/>
  <c r="D141" i="20"/>
  <c r="C141" i="20"/>
  <c r="G140" i="20"/>
  <c r="F140" i="20"/>
  <c r="E140" i="20"/>
  <c r="D140" i="20"/>
  <c r="C140" i="20"/>
  <c r="G139" i="20"/>
  <c r="F139" i="20"/>
  <c r="E139" i="20"/>
  <c r="D139" i="20"/>
  <c r="C139" i="20"/>
  <c r="G138" i="20"/>
  <c r="F138" i="20"/>
  <c r="E138" i="20"/>
  <c r="D138" i="20"/>
  <c r="C138" i="20"/>
  <c r="G137" i="20"/>
  <c r="F137" i="20"/>
  <c r="E137" i="20"/>
  <c r="D137" i="20"/>
  <c r="C137" i="20"/>
  <c r="G136" i="20"/>
  <c r="F136" i="20"/>
  <c r="E136" i="20"/>
  <c r="D136" i="20"/>
  <c r="C136" i="20"/>
  <c r="G135" i="20"/>
  <c r="F135" i="20"/>
  <c r="E135" i="20"/>
  <c r="D135" i="20"/>
  <c r="C135" i="20"/>
  <c r="G134" i="20"/>
  <c r="F134" i="20"/>
  <c r="E134" i="20"/>
  <c r="D134" i="20"/>
  <c r="C134" i="20"/>
  <c r="G133" i="20"/>
  <c r="F133" i="20"/>
  <c r="E133" i="20"/>
  <c r="D133" i="20"/>
  <c r="C133" i="20"/>
  <c r="G132" i="20"/>
  <c r="F132" i="20"/>
  <c r="E132" i="20"/>
  <c r="D132" i="20"/>
  <c r="C132" i="20"/>
  <c r="G131" i="20"/>
  <c r="F131" i="20"/>
  <c r="E131" i="20"/>
  <c r="D131" i="20"/>
  <c r="C131" i="20"/>
  <c r="G130" i="20"/>
  <c r="F130" i="20"/>
  <c r="E130" i="20"/>
  <c r="D130" i="20"/>
  <c r="C130" i="20"/>
  <c r="G129" i="20"/>
  <c r="F129" i="20"/>
  <c r="E129" i="20"/>
  <c r="D129" i="20"/>
  <c r="C129" i="20"/>
  <c r="G128" i="20"/>
  <c r="F128" i="20"/>
  <c r="E128" i="20"/>
  <c r="D128" i="20"/>
  <c r="C128" i="20"/>
  <c r="G127" i="20"/>
  <c r="F127" i="20"/>
  <c r="E127" i="20"/>
  <c r="D127" i="20"/>
  <c r="C127" i="20"/>
  <c r="G126" i="20"/>
  <c r="F126" i="20"/>
  <c r="E126" i="20"/>
  <c r="D126" i="20"/>
  <c r="C126" i="20"/>
  <c r="G125" i="20"/>
  <c r="F125" i="20"/>
  <c r="E125" i="20"/>
  <c r="D125" i="20"/>
  <c r="C125" i="20"/>
  <c r="G124" i="20"/>
  <c r="F124" i="20"/>
  <c r="E124" i="20"/>
  <c r="D124" i="20"/>
  <c r="C124" i="20"/>
  <c r="G123" i="20"/>
  <c r="F123" i="20"/>
  <c r="E123" i="20"/>
  <c r="D123" i="20"/>
  <c r="C123" i="20"/>
  <c r="G122" i="20"/>
  <c r="F122" i="20"/>
  <c r="E122" i="20"/>
  <c r="D122" i="20"/>
  <c r="C122" i="20"/>
  <c r="G121" i="20"/>
  <c r="F121" i="20"/>
  <c r="E121" i="20"/>
  <c r="D121" i="20"/>
  <c r="C121" i="20"/>
  <c r="G120" i="20"/>
  <c r="F120" i="20"/>
  <c r="E120" i="20"/>
  <c r="D120" i="20"/>
  <c r="C120" i="20"/>
  <c r="G119" i="20"/>
  <c r="F119" i="20"/>
  <c r="E119" i="20"/>
  <c r="D119" i="20"/>
  <c r="C119" i="20"/>
  <c r="G118" i="20"/>
  <c r="F118" i="20"/>
  <c r="E118" i="20"/>
  <c r="D118" i="20"/>
  <c r="C118" i="20"/>
  <c r="G117" i="20"/>
  <c r="F117" i="20"/>
  <c r="E117" i="20"/>
  <c r="D117" i="20"/>
  <c r="C117" i="20"/>
  <c r="G116" i="20"/>
  <c r="F116" i="20"/>
  <c r="E116" i="20"/>
  <c r="D116" i="20"/>
  <c r="C116" i="20"/>
  <c r="G115" i="20"/>
  <c r="F115" i="20"/>
  <c r="E115" i="20"/>
  <c r="D115" i="20"/>
  <c r="C115" i="20"/>
  <c r="G114" i="20"/>
  <c r="F114" i="20"/>
  <c r="E114" i="20"/>
  <c r="D114" i="20"/>
  <c r="C114" i="20"/>
  <c r="G113" i="20"/>
  <c r="F113" i="20"/>
  <c r="E113" i="20"/>
  <c r="D113" i="20"/>
  <c r="C113" i="20"/>
  <c r="G112" i="20"/>
  <c r="F112" i="20"/>
  <c r="E112" i="20"/>
  <c r="D112" i="20"/>
  <c r="C112" i="20"/>
  <c r="G111" i="20"/>
  <c r="F111" i="20"/>
  <c r="E111" i="20"/>
  <c r="D111" i="20"/>
  <c r="C111" i="20"/>
  <c r="G110" i="20"/>
  <c r="F110" i="20"/>
  <c r="E110" i="20"/>
  <c r="D110" i="20"/>
  <c r="C110" i="20"/>
  <c r="G109" i="20"/>
  <c r="F109" i="20"/>
  <c r="E109" i="20"/>
  <c r="D109" i="20"/>
  <c r="C109" i="20"/>
  <c r="G108" i="20"/>
  <c r="F108" i="20"/>
  <c r="E108" i="20"/>
  <c r="D108" i="20"/>
  <c r="C108" i="20"/>
  <c r="G107" i="20"/>
  <c r="F107" i="20"/>
  <c r="E107" i="20"/>
  <c r="D107" i="20"/>
  <c r="C107" i="20"/>
  <c r="G106" i="20"/>
  <c r="F106" i="20"/>
  <c r="E106" i="20"/>
  <c r="D106" i="20"/>
  <c r="C106" i="20"/>
  <c r="G105" i="20"/>
  <c r="F105" i="20"/>
  <c r="E105" i="20"/>
  <c r="D105" i="20"/>
  <c r="C105" i="20"/>
  <c r="G104" i="20"/>
  <c r="F104" i="20"/>
  <c r="E104" i="20"/>
  <c r="B104" i="20" s="1"/>
  <c r="D104" i="20"/>
  <c r="C104" i="20"/>
  <c r="G103" i="20"/>
  <c r="F103" i="20"/>
  <c r="E103" i="20"/>
  <c r="D103" i="20"/>
  <c r="C103" i="20"/>
  <c r="G102" i="20"/>
  <c r="F102" i="20"/>
  <c r="E102" i="20"/>
  <c r="D102" i="20"/>
  <c r="C102" i="20"/>
  <c r="G101" i="20"/>
  <c r="F101" i="20"/>
  <c r="E101" i="20"/>
  <c r="D101" i="20"/>
  <c r="C101" i="20"/>
  <c r="G100" i="20"/>
  <c r="F100" i="20"/>
  <c r="E100" i="20"/>
  <c r="D100" i="20"/>
  <c r="C100" i="20"/>
  <c r="G99" i="20"/>
  <c r="F99" i="20"/>
  <c r="E99" i="20"/>
  <c r="D99" i="20"/>
  <c r="C99" i="20"/>
  <c r="G98" i="20"/>
  <c r="F98" i="20"/>
  <c r="E98" i="20"/>
  <c r="D98" i="20"/>
  <c r="C98" i="20"/>
  <c r="G97" i="20"/>
  <c r="F97" i="20"/>
  <c r="E97" i="20"/>
  <c r="D97" i="20"/>
  <c r="C97" i="20"/>
  <c r="G96" i="20"/>
  <c r="F96" i="20"/>
  <c r="E96" i="20"/>
  <c r="D96" i="20"/>
  <c r="C96" i="20"/>
  <c r="G95" i="20"/>
  <c r="F95" i="20"/>
  <c r="E95" i="20"/>
  <c r="D95" i="20"/>
  <c r="C95" i="20"/>
  <c r="G94" i="20"/>
  <c r="F94" i="20"/>
  <c r="E94" i="20"/>
  <c r="D94" i="20"/>
  <c r="C94" i="20"/>
  <c r="G93" i="20"/>
  <c r="F93" i="20"/>
  <c r="E93" i="20"/>
  <c r="D93" i="20"/>
  <c r="C93" i="20"/>
  <c r="G92" i="20"/>
  <c r="F92" i="20"/>
  <c r="E92" i="20"/>
  <c r="D92" i="20"/>
  <c r="C92" i="20"/>
  <c r="G91" i="20"/>
  <c r="F91" i="20"/>
  <c r="E91" i="20"/>
  <c r="D91" i="20"/>
  <c r="C91" i="20"/>
  <c r="A91" i="20"/>
  <c r="G90" i="20"/>
  <c r="F90" i="20"/>
  <c r="E90" i="20"/>
  <c r="D90" i="20"/>
  <c r="C90" i="20"/>
  <c r="G89" i="20"/>
  <c r="F89" i="20"/>
  <c r="E89" i="20"/>
  <c r="D89" i="20"/>
  <c r="C89" i="20"/>
  <c r="G88" i="20"/>
  <c r="F88" i="20"/>
  <c r="E88" i="20"/>
  <c r="D88" i="20"/>
  <c r="C88" i="20"/>
  <c r="G87" i="20"/>
  <c r="F87" i="20"/>
  <c r="E87" i="20"/>
  <c r="D87" i="20"/>
  <c r="C87" i="20"/>
  <c r="G86" i="20"/>
  <c r="F86" i="20"/>
  <c r="E86" i="20"/>
  <c r="D86" i="20"/>
  <c r="C86" i="20"/>
  <c r="G85" i="20"/>
  <c r="F85" i="20"/>
  <c r="E85" i="20"/>
  <c r="B85" i="20" s="1"/>
  <c r="D85" i="20"/>
  <c r="C85" i="20"/>
  <c r="G84" i="20"/>
  <c r="F84" i="20"/>
  <c r="E84" i="20"/>
  <c r="D84" i="20"/>
  <c r="C84" i="20"/>
  <c r="G83" i="20"/>
  <c r="F83" i="20"/>
  <c r="E83" i="20"/>
  <c r="D83" i="20"/>
  <c r="C83" i="20"/>
  <c r="G82" i="20"/>
  <c r="F82" i="20"/>
  <c r="E82" i="20"/>
  <c r="D82" i="20"/>
  <c r="C82" i="20"/>
  <c r="G81" i="20"/>
  <c r="F81" i="20"/>
  <c r="E81" i="20"/>
  <c r="D81" i="20"/>
  <c r="C81" i="20"/>
  <c r="G80" i="20"/>
  <c r="F80" i="20"/>
  <c r="E80" i="20"/>
  <c r="D80" i="20"/>
  <c r="C80" i="20"/>
  <c r="G79" i="20"/>
  <c r="F79" i="20"/>
  <c r="E79" i="20"/>
  <c r="D79" i="20"/>
  <c r="C79" i="20"/>
  <c r="G78" i="20"/>
  <c r="F78" i="20"/>
  <c r="E78" i="20"/>
  <c r="D78" i="20"/>
  <c r="C78" i="20"/>
  <c r="G77" i="20"/>
  <c r="F77" i="20"/>
  <c r="E77" i="20"/>
  <c r="D77" i="20"/>
  <c r="C77" i="20"/>
  <c r="B77" i="20"/>
  <c r="G76" i="20"/>
  <c r="F76" i="20"/>
  <c r="E76" i="20"/>
  <c r="D76" i="20"/>
  <c r="C76" i="20"/>
  <c r="G75" i="20"/>
  <c r="F75" i="20"/>
  <c r="E75" i="20"/>
  <c r="D75" i="20"/>
  <c r="C75" i="20"/>
  <c r="G74" i="20"/>
  <c r="F74" i="20"/>
  <c r="E74" i="20"/>
  <c r="D74" i="20"/>
  <c r="C74" i="20"/>
  <c r="G73" i="20"/>
  <c r="F73" i="20"/>
  <c r="E73" i="20"/>
  <c r="D73" i="20"/>
  <c r="C73" i="20"/>
  <c r="G72" i="20"/>
  <c r="F72" i="20"/>
  <c r="E72" i="20"/>
  <c r="D72" i="20"/>
  <c r="B72" i="20" s="1"/>
  <c r="C72" i="20"/>
  <c r="G71" i="20"/>
  <c r="F71" i="20"/>
  <c r="E71" i="20"/>
  <c r="D71" i="20"/>
  <c r="C71" i="20"/>
  <c r="G70" i="20"/>
  <c r="F70" i="20"/>
  <c r="E70" i="20"/>
  <c r="D70" i="20"/>
  <c r="C70" i="20"/>
  <c r="G69" i="20"/>
  <c r="F69" i="20"/>
  <c r="E69" i="20"/>
  <c r="D69" i="20"/>
  <c r="C69" i="20"/>
  <c r="G68" i="20"/>
  <c r="F68" i="20"/>
  <c r="E68" i="20"/>
  <c r="D68" i="20"/>
  <c r="A68" i="20" s="1"/>
  <c r="C68" i="20"/>
  <c r="G67" i="20"/>
  <c r="F67" i="20"/>
  <c r="E67" i="20"/>
  <c r="D67" i="20"/>
  <c r="C67" i="20"/>
  <c r="G66" i="20"/>
  <c r="F66" i="20"/>
  <c r="E66" i="20"/>
  <c r="D66" i="20"/>
  <c r="C66" i="20"/>
  <c r="G65" i="20"/>
  <c r="F65" i="20"/>
  <c r="E65" i="20"/>
  <c r="D65" i="20"/>
  <c r="B65" i="20" s="1"/>
  <c r="C65" i="20"/>
  <c r="G64" i="20"/>
  <c r="F64" i="20"/>
  <c r="E64" i="20"/>
  <c r="D64" i="20"/>
  <c r="C64" i="20"/>
  <c r="G63" i="20"/>
  <c r="F63" i="20"/>
  <c r="E63" i="20"/>
  <c r="D63" i="20"/>
  <c r="C63" i="20"/>
  <c r="G62" i="20"/>
  <c r="F62" i="20"/>
  <c r="E62" i="20"/>
  <c r="D62" i="20"/>
  <c r="C62" i="20"/>
  <c r="G61" i="20"/>
  <c r="F61" i="20"/>
  <c r="E61" i="20"/>
  <c r="D61" i="20"/>
  <c r="C61" i="20"/>
  <c r="G60" i="20"/>
  <c r="F60" i="20"/>
  <c r="E60" i="20"/>
  <c r="D60" i="20"/>
  <c r="C60" i="20"/>
  <c r="G59" i="20"/>
  <c r="F59" i="20"/>
  <c r="E59" i="20"/>
  <c r="D59" i="20"/>
  <c r="C59" i="20"/>
  <c r="G58" i="20"/>
  <c r="F58" i="20"/>
  <c r="E58" i="20"/>
  <c r="D58" i="20"/>
  <c r="C58" i="20"/>
  <c r="G57" i="20"/>
  <c r="F57" i="20"/>
  <c r="E57" i="20"/>
  <c r="D57" i="20"/>
  <c r="C57" i="20"/>
  <c r="G56" i="20"/>
  <c r="F56" i="20"/>
  <c r="E56" i="20"/>
  <c r="D56" i="20"/>
  <c r="C56" i="20"/>
  <c r="G55" i="20"/>
  <c r="F55" i="20"/>
  <c r="E55" i="20"/>
  <c r="D55" i="20"/>
  <c r="C55" i="20"/>
  <c r="G54" i="20"/>
  <c r="F54" i="20"/>
  <c r="E54" i="20"/>
  <c r="D54" i="20"/>
  <c r="C54" i="20"/>
  <c r="G53" i="20"/>
  <c r="F53" i="20"/>
  <c r="E53" i="20"/>
  <c r="D53" i="20"/>
  <c r="C53" i="20"/>
  <c r="I14" i="24" l="1"/>
  <c r="I13" i="24"/>
  <c r="I11" i="24"/>
  <c r="AU44" i="23"/>
  <c r="AL44" i="23"/>
  <c r="AU52" i="23"/>
  <c r="AL52" i="23"/>
  <c r="AU60" i="23"/>
  <c r="AL60" i="23"/>
  <c r="AU81" i="23"/>
  <c r="AL81" i="23"/>
  <c r="AU48" i="23"/>
  <c r="AL48" i="23"/>
  <c r="AU20" i="23"/>
  <c r="AL20" i="23"/>
  <c r="AL72" i="23"/>
  <c r="AU72" i="23"/>
  <c r="AU80" i="23"/>
  <c r="AL80" i="23"/>
  <c r="AU69" i="23"/>
  <c r="AL69" i="23"/>
  <c r="H6" i="23"/>
  <c r="J6" i="23"/>
  <c r="D7" i="23"/>
  <c r="D8" i="23"/>
  <c r="E10" i="23"/>
  <c r="N10" i="23"/>
  <c r="P11" i="23"/>
  <c r="M6" i="23"/>
  <c r="H7" i="23"/>
  <c r="F8" i="23"/>
  <c r="G10" i="23"/>
  <c r="R10" i="23"/>
  <c r="B6" i="23"/>
  <c r="O6" i="23"/>
  <c r="I7" i="23"/>
  <c r="I8" i="23"/>
  <c r="C6" i="23"/>
  <c r="P6" i="23"/>
  <c r="M7" i="23"/>
  <c r="M8" i="23"/>
  <c r="J10" i="23"/>
  <c r="E6" i="23"/>
  <c r="R6" i="23"/>
  <c r="Q8" i="23"/>
  <c r="B10" i="23"/>
  <c r="K10" i="23"/>
  <c r="G11" i="23"/>
  <c r="H29" i="21"/>
  <c r="I66" i="21"/>
  <c r="B48" i="6"/>
  <c r="B49" i="6" s="1"/>
  <c r="C47" i="6" a="1"/>
  <c r="C47" i="6" s="1"/>
  <c r="C48" i="6" s="1" a="1"/>
  <c r="C48" i="6" s="1"/>
  <c r="C49" i="6" s="1"/>
  <c r="D45" i="6"/>
  <c r="D46" i="6" s="1" a="1"/>
  <c r="D46" i="6" s="1"/>
  <c r="AI60" i="6"/>
  <c r="G44" i="6"/>
  <c r="B53" i="20"/>
  <c r="A60" i="20"/>
  <c r="A61" i="20"/>
  <c r="B213" i="20"/>
  <c r="B217" i="20"/>
  <c r="B244" i="20"/>
  <c r="B310" i="20"/>
  <c r="B342" i="20"/>
  <c r="B368" i="20"/>
  <c r="B405" i="20"/>
  <c r="B74" i="20"/>
  <c r="B59" i="20"/>
  <c r="B176" i="20"/>
  <c r="B192" i="20"/>
  <c r="B235" i="20"/>
  <c r="A254" i="20"/>
  <c r="B267" i="20"/>
  <c r="B286" i="20"/>
  <c r="B318" i="20"/>
  <c r="B350" i="20"/>
  <c r="B357" i="20"/>
  <c r="B376" i="20"/>
  <c r="B384" i="20"/>
  <c r="B388" i="20"/>
  <c r="B394" i="20"/>
  <c r="B395" i="20"/>
  <c r="B269" i="20"/>
  <c r="A269" i="20"/>
  <c r="B92" i="20"/>
  <c r="A97" i="20"/>
  <c r="A105" i="20"/>
  <c r="A113" i="20"/>
  <c r="A121" i="20"/>
  <c r="A129" i="20"/>
  <c r="B136" i="20"/>
  <c r="A141" i="20"/>
  <c r="A149" i="20"/>
  <c r="A157" i="20"/>
  <c r="A165" i="20"/>
  <c r="A173" i="20"/>
  <c r="B229" i="20"/>
  <c r="B231" i="20"/>
  <c r="B233" i="20"/>
  <c r="B246" i="20"/>
  <c r="A246" i="20"/>
  <c r="B248" i="20"/>
  <c r="B272" i="20"/>
  <c r="B282" i="20"/>
  <c r="B312" i="20"/>
  <c r="B314" i="20"/>
  <c r="B344" i="20"/>
  <c r="B346" i="20"/>
  <c r="B370" i="20"/>
  <c r="B374" i="20"/>
  <c r="A426" i="20"/>
  <c r="B429" i="20"/>
  <c r="B64" i="20"/>
  <c r="B82" i="20"/>
  <c r="A156" i="20"/>
  <c r="A228" i="20"/>
  <c r="B250" i="20"/>
  <c r="A271" i="20"/>
  <c r="B288" i="20"/>
  <c r="B304" i="20"/>
  <c r="B352" i="20"/>
  <c r="B379" i="20"/>
  <c r="B389" i="20"/>
  <c r="B396" i="20"/>
  <c r="B399" i="20"/>
  <c r="B430" i="20"/>
  <c r="B434" i="20"/>
  <c r="A437" i="20"/>
  <c r="B57" i="20"/>
  <c r="B71" i="20"/>
  <c r="A84" i="20"/>
  <c r="A96" i="20"/>
  <c r="A148" i="20"/>
  <c r="A164" i="20"/>
  <c r="A185" i="20"/>
  <c r="A204" i="20"/>
  <c r="A207" i="20"/>
  <c r="B224" i="20"/>
  <c r="B252" i="20"/>
  <c r="A265" i="20"/>
  <c r="B320" i="20"/>
  <c r="B336" i="20"/>
  <c r="B372" i="20"/>
  <c r="B54" i="20"/>
  <c r="B62" i="20"/>
  <c r="B79" i="20"/>
  <c r="B81" i="20"/>
  <c r="B83" i="20"/>
  <c r="B86" i="20"/>
  <c r="A99" i="20"/>
  <c r="B144" i="20"/>
  <c r="A147" i="20"/>
  <c r="B148" i="20"/>
  <c r="A151" i="20"/>
  <c r="A159" i="20"/>
  <c r="A167" i="20"/>
  <c r="A193" i="20"/>
  <c r="B200" i="20"/>
  <c r="A203" i="20"/>
  <c r="B204" i="20"/>
  <c r="B215" i="20"/>
  <c r="A232" i="20"/>
  <c r="A234" i="20"/>
  <c r="A238" i="20"/>
  <c r="B251" i="20"/>
  <c r="B254" i="20"/>
  <c r="A258" i="20"/>
  <c r="B292" i="20"/>
  <c r="B308" i="20"/>
  <c r="B324" i="20"/>
  <c r="B340" i="20"/>
  <c r="B356" i="20"/>
  <c r="B363" i="20"/>
  <c r="B373" i="20"/>
  <c r="B378" i="20"/>
  <c r="B380" i="20"/>
  <c r="B383" i="20"/>
  <c r="B390" i="20"/>
  <c r="A421" i="20"/>
  <c r="A433" i="20"/>
  <c r="B442" i="20"/>
  <c r="A103" i="20"/>
  <c r="A171" i="20"/>
  <c r="A192" i="20"/>
  <c r="A212" i="20"/>
  <c r="A92" i="20"/>
  <c r="A136" i="20"/>
  <c r="B258" i="20"/>
  <c r="A53" i="20"/>
  <c r="A64" i="20"/>
  <c r="A72" i="20"/>
  <c r="B75" i="20"/>
  <c r="B78" i="20"/>
  <c r="B87" i="20"/>
  <c r="B93" i="20"/>
  <c r="A101" i="20"/>
  <c r="A107" i="20"/>
  <c r="A115" i="20"/>
  <c r="A123" i="20"/>
  <c r="A131" i="20"/>
  <c r="A140" i="20"/>
  <c r="A153" i="20"/>
  <c r="A161" i="20"/>
  <c r="A169" i="20"/>
  <c r="A175" i="20"/>
  <c r="A176" i="20"/>
  <c r="A189" i="20"/>
  <c r="A195" i="20"/>
  <c r="A196" i="20"/>
  <c r="B234" i="20"/>
  <c r="A239" i="20"/>
  <c r="B365" i="20"/>
  <c r="B381" i="20"/>
  <c r="B397" i="20"/>
  <c r="A425" i="20"/>
  <c r="B63" i="20"/>
  <c r="B66" i="20"/>
  <c r="A73" i="20"/>
  <c r="B84" i="20"/>
  <c r="A85" i="20"/>
  <c r="A109" i="20"/>
  <c r="A117" i="20"/>
  <c r="A125" i="20"/>
  <c r="A133" i="20"/>
  <c r="A139" i="20"/>
  <c r="A183" i="20"/>
  <c r="A184" i="20"/>
  <c r="A206" i="20"/>
  <c r="B207" i="20"/>
  <c r="B212" i="20"/>
  <c r="B218" i="20"/>
  <c r="A221" i="20"/>
  <c r="A235" i="20"/>
  <c r="B261" i="20"/>
  <c r="B274" i="20"/>
  <c r="B276" i="20"/>
  <c r="B355" i="20"/>
  <c r="B371" i="20"/>
  <c r="B387" i="20"/>
  <c r="A418" i="20"/>
  <c r="B421" i="20"/>
  <c r="B361" i="20"/>
  <c r="B377" i="20"/>
  <c r="B393" i="20"/>
  <c r="B402" i="20"/>
  <c r="A405" i="20"/>
  <c r="A409" i="20"/>
  <c r="A442" i="20"/>
  <c r="A104" i="20"/>
  <c r="A80" i="20"/>
  <c r="B80" i="20"/>
  <c r="A120" i="20"/>
  <c r="A163" i="20"/>
  <c r="A172" i="20"/>
  <c r="A282" i="20"/>
  <c r="A69" i="20"/>
  <c r="A119" i="20"/>
  <c r="A255" i="20"/>
  <c r="B60" i="20"/>
  <c r="A81" i="20"/>
  <c r="A95" i="20"/>
  <c r="A112" i="20"/>
  <c r="A191" i="20"/>
  <c r="A111" i="20"/>
  <c r="A135" i="20"/>
  <c r="A57" i="20"/>
  <c r="A89" i="20"/>
  <c r="A143" i="20"/>
  <c r="A144" i="20"/>
  <c r="A179" i="20"/>
  <c r="A199" i="20"/>
  <c r="A200" i="20"/>
  <c r="A215" i="20"/>
  <c r="A251" i="20"/>
  <c r="A263" i="20"/>
  <c r="A417" i="20"/>
  <c r="A56" i="20"/>
  <c r="B67" i="20"/>
  <c r="B70" i="20"/>
  <c r="B76" i="20"/>
  <c r="A77" i="20"/>
  <c r="B88" i="20"/>
  <c r="A100" i="20"/>
  <c r="A137" i="20"/>
  <c r="A152" i="20"/>
  <c r="A160" i="20"/>
  <c r="A168" i="20"/>
  <c r="A181" i="20"/>
  <c r="A187" i="20"/>
  <c r="A188" i="20"/>
  <c r="A222" i="20"/>
  <c r="B242" i="20"/>
  <c r="A247" i="20"/>
  <c r="A266" i="20"/>
  <c r="B277" i="20"/>
  <c r="B353" i="20"/>
  <c r="B369" i="20"/>
  <c r="B385" i="20"/>
  <c r="A410" i="20"/>
  <c r="B413" i="20"/>
  <c r="A441" i="20"/>
  <c r="A128" i="20"/>
  <c r="A155" i="20"/>
  <c r="A231" i="20"/>
  <c r="A127" i="20"/>
  <c r="A180" i="20"/>
  <c r="B56" i="20"/>
  <c r="B68" i="20"/>
  <c r="B55" i="20"/>
  <c r="B58" i="20"/>
  <c r="A65" i="20"/>
  <c r="A76" i="20"/>
  <c r="A88" i="20"/>
  <c r="B90" i="20"/>
  <c r="A108" i="20"/>
  <c r="A116" i="20"/>
  <c r="A124" i="20"/>
  <c r="A132" i="20"/>
  <c r="A145" i="20"/>
  <c r="A201" i="20"/>
  <c r="B210" i="20"/>
  <c r="A216" i="20"/>
  <c r="A223" i="20"/>
  <c r="B228" i="20"/>
  <c r="B238" i="20"/>
  <c r="A243" i="20"/>
  <c r="B271" i="20"/>
  <c r="B359" i="20"/>
  <c r="B375" i="20"/>
  <c r="B391" i="20"/>
  <c r="A401" i="20"/>
  <c r="A434" i="20"/>
  <c r="B437" i="20"/>
  <c r="I12" i="24"/>
  <c r="AL17" i="23"/>
  <c r="AU17" i="23"/>
  <c r="AL79" i="23"/>
  <c r="AU79" i="23"/>
  <c r="AU8" i="23"/>
  <c r="AL8" i="23"/>
  <c r="AU54" i="23"/>
  <c r="AL54" i="23"/>
  <c r="AU75" i="23"/>
  <c r="AL75" i="23"/>
  <c r="AL13" i="23"/>
  <c r="AU13" i="23"/>
  <c r="AU39" i="23"/>
  <c r="AL39" i="23"/>
  <c r="AU78" i="23"/>
  <c r="AL78" i="23"/>
  <c r="AU30" i="23"/>
  <c r="AL30" i="23"/>
  <c r="AU62" i="23"/>
  <c r="AL62" i="23"/>
  <c r="AU50" i="23"/>
  <c r="AL50" i="23"/>
  <c r="AU74" i="23"/>
  <c r="AL74" i="23"/>
  <c r="AU93" i="23"/>
  <c r="AL93" i="23"/>
  <c r="AU35" i="23"/>
  <c r="AL35" i="23"/>
  <c r="AU83" i="23"/>
  <c r="AL83" i="23"/>
  <c r="AU94" i="23"/>
  <c r="AL94" i="23"/>
  <c r="AU23" i="23"/>
  <c r="AL23" i="23"/>
  <c r="AU26" i="23"/>
  <c r="AL26" i="23"/>
  <c r="AU29" i="23"/>
  <c r="AL29" i="23"/>
  <c r="H4" i="23"/>
  <c r="J5" i="23"/>
  <c r="A6" i="23"/>
  <c r="I6" i="23"/>
  <c r="Q6" i="23"/>
  <c r="BA12" i="23"/>
  <c r="BC14" i="23"/>
  <c r="BC15" i="23"/>
  <c r="BA56" i="23"/>
  <c r="J4" i="23"/>
  <c r="A5" i="23"/>
  <c r="K5" i="23"/>
  <c r="BC12" i="23"/>
  <c r="M4" i="23"/>
  <c r="B5" i="23"/>
  <c r="M5" i="23"/>
  <c r="J8" i="23"/>
  <c r="C9" i="23"/>
  <c r="I11" i="23"/>
  <c r="BA42" i="23"/>
  <c r="BC85" i="23"/>
  <c r="N4" i="23"/>
  <c r="C5" i="23"/>
  <c r="N5" i="23"/>
  <c r="D6" i="23"/>
  <c r="L6" i="23"/>
  <c r="L8" i="23"/>
  <c r="E9" i="23"/>
  <c r="P10" i="23"/>
  <c r="L11" i="23"/>
  <c r="AY81" i="23"/>
  <c r="P4" i="23"/>
  <c r="E5" i="23"/>
  <c r="F9" i="23"/>
  <c r="B4" i="23"/>
  <c r="Q4" i="23"/>
  <c r="F5" i="23"/>
  <c r="Q5" i="23"/>
  <c r="F6" i="23"/>
  <c r="B8" i="23"/>
  <c r="O9" i="23"/>
  <c r="A11" i="23"/>
  <c r="AY19" i="23"/>
  <c r="BA72" i="23"/>
  <c r="BA73" i="23"/>
  <c r="A4" i="23"/>
  <c r="O5" i="23"/>
  <c r="E4" i="23"/>
  <c r="G5" i="23"/>
  <c r="R5" i="23"/>
  <c r="R9" i="23"/>
  <c r="BC19" i="23"/>
  <c r="BC73" i="23"/>
  <c r="I26" i="21"/>
  <c r="N7" i="21"/>
  <c r="N26" i="21" s="1"/>
  <c r="AU15" i="23"/>
  <c r="AL15" i="23"/>
  <c r="BC17" i="23"/>
  <c r="BA17" i="23"/>
  <c r="AY17" i="23"/>
  <c r="AL11" i="23"/>
  <c r="AU11" i="23"/>
  <c r="AL2" i="23"/>
  <c r="AU2" i="23"/>
  <c r="AU10" i="23"/>
  <c r="AL10" i="23"/>
  <c r="AU3" i="23"/>
  <c r="AL3" i="23"/>
  <c r="AU19" i="23"/>
  <c r="AL19" i="23"/>
  <c r="BC23" i="23"/>
  <c r="BA23" i="23"/>
  <c r="AY23" i="23"/>
  <c r="BC26" i="23"/>
  <c r="BA26" i="23"/>
  <c r="AY26" i="23"/>
  <c r="BC13" i="23"/>
  <c r="BA13" i="23"/>
  <c r="AY13" i="23"/>
  <c r="AU9" i="23"/>
  <c r="AL9" i="23"/>
  <c r="K14" i="23"/>
  <c r="K18" i="23"/>
  <c r="AL28" i="23"/>
  <c r="AU28" i="23"/>
  <c r="BA37" i="23"/>
  <c r="BC37" i="23"/>
  <c r="AY37" i="23"/>
  <c r="BA53" i="23"/>
  <c r="AY53" i="23"/>
  <c r="BC53" i="23"/>
  <c r="AX9" i="23"/>
  <c r="AY9" i="23" s="1"/>
  <c r="AU16" i="23"/>
  <c r="AY31" i="23"/>
  <c r="BA31" i="23"/>
  <c r="AU41" i="23"/>
  <c r="AL41" i="23"/>
  <c r="AU47" i="23"/>
  <c r="AL47" i="23"/>
  <c r="AU6" i="23"/>
  <c r="AL6" i="23"/>
  <c r="AY16" i="23"/>
  <c r="BA16" i="23"/>
  <c r="AU18" i="23"/>
  <c r="AL18" i="23"/>
  <c r="AL25" i="23"/>
  <c r="AU25" i="23"/>
  <c r="BA49" i="23"/>
  <c r="AY49" i="23"/>
  <c r="BC49" i="23"/>
  <c r="BC54" i="23"/>
  <c r="BA54" i="23"/>
  <c r="AY54" i="23"/>
  <c r="BA57" i="23"/>
  <c r="AY57" i="23"/>
  <c r="BC57" i="23"/>
  <c r="AU7" i="23"/>
  <c r="AU14" i="23"/>
  <c r="AL14" i="23"/>
  <c r="AY27" i="23"/>
  <c r="BC27" i="23"/>
  <c r="BA27" i="23"/>
  <c r="J9" i="23"/>
  <c r="BC16" i="23"/>
  <c r="AU21" i="23"/>
  <c r="AU24" i="23"/>
  <c r="AL27" i="23"/>
  <c r="AY30" i="23"/>
  <c r="BA30" i="23"/>
  <c r="BC30" i="23"/>
  <c r="AL33" i="23"/>
  <c r="AU33" i="23"/>
  <c r="AL36" i="23"/>
  <c r="AU36" i="23"/>
  <c r="BA45" i="23"/>
  <c r="AY45" i="23"/>
  <c r="BC45" i="23"/>
  <c r="AL5" i="23"/>
  <c r="O7" i="23"/>
  <c r="G7" i="23"/>
  <c r="N7" i="23"/>
  <c r="F7" i="23"/>
  <c r="R7" i="23"/>
  <c r="J7" i="23"/>
  <c r="B7" i="23"/>
  <c r="K9" i="23"/>
  <c r="AU12" i="23"/>
  <c r="AY18" i="23"/>
  <c r="BA21" i="23"/>
  <c r="AY21" i="23"/>
  <c r="BC21" i="23"/>
  <c r="BA25" i="23"/>
  <c r="AY25" i="23"/>
  <c r="BC35" i="23"/>
  <c r="BA35" i="23"/>
  <c r="AY35" i="23"/>
  <c r="BC50" i="23"/>
  <c r="BA50" i="23"/>
  <c r="AY50" i="23"/>
  <c r="G9" i="23"/>
  <c r="L4" i="23"/>
  <c r="D4" i="23"/>
  <c r="K4" i="23"/>
  <c r="C4" i="23"/>
  <c r="O4" i="23"/>
  <c r="G4" i="23"/>
  <c r="K7" i="23"/>
  <c r="AY14" i="23"/>
  <c r="BA18" i="23"/>
  <c r="BA22" i="23"/>
  <c r="BC25" i="23"/>
  <c r="AU51" i="23"/>
  <c r="AL51" i="23"/>
  <c r="BC69" i="23"/>
  <c r="BA69" i="23"/>
  <c r="AY69" i="23"/>
  <c r="Q9" i="23"/>
  <c r="I9" i="23"/>
  <c r="A9" i="23"/>
  <c r="P9" i="23"/>
  <c r="H9" i="23"/>
  <c r="L9" i="23"/>
  <c r="D9" i="23"/>
  <c r="I4" i="23"/>
  <c r="AL4" i="23"/>
  <c r="L7" i="23"/>
  <c r="P8" i="23"/>
  <c r="H8" i="23"/>
  <c r="O8" i="23"/>
  <c r="G8" i="23"/>
  <c r="K8" i="23"/>
  <c r="C8" i="23"/>
  <c r="B9" i="23"/>
  <c r="N9" i="23"/>
  <c r="K11" i="23"/>
  <c r="C11" i="23"/>
  <c r="R11" i="23"/>
  <c r="J11" i="23"/>
  <c r="B11" i="23"/>
  <c r="N11" i="23"/>
  <c r="F11" i="23"/>
  <c r="K22" i="23"/>
  <c r="BC22" i="23"/>
  <c r="BA29" i="23"/>
  <c r="AY29" i="23"/>
  <c r="BC29" i="23"/>
  <c r="K31" i="23"/>
  <c r="AU31" i="23"/>
  <c r="BA24" i="23"/>
  <c r="AL34" i="23"/>
  <c r="AU34" i="23"/>
  <c r="BC38" i="23"/>
  <c r="AL46" i="23"/>
  <c r="AU46" i="23"/>
  <c r="AL59" i="23"/>
  <c r="BA83" i="23"/>
  <c r="AY83" i="23"/>
  <c r="BC83" i="23"/>
  <c r="AU85" i="23"/>
  <c r="AL85" i="23"/>
  <c r="BA91" i="23"/>
  <c r="AY91" i="23"/>
  <c r="BC91" i="23"/>
  <c r="AU43" i="23"/>
  <c r="AL43" i="23"/>
  <c r="BC52" i="23"/>
  <c r="AY52" i="23"/>
  <c r="AU53" i="23"/>
  <c r="AL53" i="23"/>
  <c r="K58" i="23"/>
  <c r="AL65" i="23"/>
  <c r="AU65" i="23"/>
  <c r="BC77" i="23"/>
  <c r="BA77" i="23"/>
  <c r="AY77" i="23"/>
  <c r="K82" i="23"/>
  <c r="AL88" i="23"/>
  <c r="AU88" i="23"/>
  <c r="H5" i="23"/>
  <c r="P5" i="23"/>
  <c r="AX20" i="23"/>
  <c r="K25" i="23"/>
  <c r="AY42" i="23"/>
  <c r="K48" i="23"/>
  <c r="BC48" i="23"/>
  <c r="BA48" i="23"/>
  <c r="AY48" i="23"/>
  <c r="AU49" i="23"/>
  <c r="AL49" i="23"/>
  <c r="AX60" i="23"/>
  <c r="AL61" i="23"/>
  <c r="AU63" i="23"/>
  <c r="AU71" i="23"/>
  <c r="BC80" i="23"/>
  <c r="BA80" i="23"/>
  <c r="AY80" i="23"/>
  <c r="AL90" i="23"/>
  <c r="AU90" i="23"/>
  <c r="K92" i="23"/>
  <c r="AY43" i="23"/>
  <c r="BA43" i="23"/>
  <c r="AU67" i="23"/>
  <c r="AL67" i="23"/>
  <c r="AL68" i="23"/>
  <c r="AU68" i="23"/>
  <c r="AU76" i="23"/>
  <c r="AL76" i="23"/>
  <c r="K81" i="23"/>
  <c r="AU84" i="23"/>
  <c r="AL84" i="23"/>
  <c r="AU92" i="23"/>
  <c r="AL92" i="23"/>
  <c r="BA33" i="23"/>
  <c r="AY33" i="23"/>
  <c r="AY34" i="23"/>
  <c r="AU38" i="23"/>
  <c r="BC43" i="23"/>
  <c r="BC44" i="23"/>
  <c r="BA44" i="23"/>
  <c r="AU45" i="23"/>
  <c r="AL45" i="23"/>
  <c r="AY46" i="23"/>
  <c r="AU55" i="23"/>
  <c r="AL55" i="23"/>
  <c r="AU56" i="23"/>
  <c r="AU57" i="23"/>
  <c r="AL57" i="23"/>
  <c r="AU58" i="23"/>
  <c r="BC62" i="23"/>
  <c r="BA62" i="23"/>
  <c r="BC65" i="23"/>
  <c r="BA65" i="23"/>
  <c r="AY65" i="23"/>
  <c r="BA71" i="23"/>
  <c r="BC71" i="23"/>
  <c r="BA74" i="23"/>
  <c r="BC74" i="23"/>
  <c r="AY74" i="23"/>
  <c r="BA79" i="23"/>
  <c r="BC79" i="23"/>
  <c r="AL87" i="23"/>
  <c r="AU87" i="23"/>
  <c r="K94" i="23"/>
  <c r="AU32" i="23"/>
  <c r="BA34" i="23"/>
  <c r="BA39" i="23"/>
  <c r="AY41" i="23"/>
  <c r="BA46" i="23"/>
  <c r="BA59" i="23"/>
  <c r="AY59" i="23"/>
  <c r="K61" i="23"/>
  <c r="BA63" i="23"/>
  <c r="BC63" i="23"/>
  <c r="K66" i="23"/>
  <c r="K70" i="23"/>
  <c r="AY71" i="23"/>
  <c r="K74" i="23"/>
  <c r="BA76" i="23"/>
  <c r="AY76" i="23"/>
  <c r="BC76" i="23"/>
  <c r="AY79" i="23"/>
  <c r="AY84" i="23"/>
  <c r="BC84" i="23"/>
  <c r="BA84" i="23"/>
  <c r="K89" i="23"/>
  <c r="D5" i="23"/>
  <c r="A10" i="23"/>
  <c r="I10" i="23"/>
  <c r="AU22" i="23"/>
  <c r="AX32" i="23"/>
  <c r="BC33" i="23"/>
  <c r="BC36" i="23"/>
  <c r="AY36" i="23"/>
  <c r="BC39" i="23"/>
  <c r="AL40" i="23"/>
  <c r="AU40" i="23"/>
  <c r="BC41" i="23"/>
  <c r="AU42" i="23"/>
  <c r="AY44" i="23"/>
  <c r="K54" i="23"/>
  <c r="BC59" i="23"/>
  <c r="AY62" i="23"/>
  <c r="AY63" i="23"/>
  <c r="BA64" i="23"/>
  <c r="AU37" i="23"/>
  <c r="AL37" i="23"/>
  <c r="BA38" i="23"/>
  <c r="K40" i="23"/>
  <c r="K42" i="23"/>
  <c r="AY55" i="23"/>
  <c r="BA55" i="23"/>
  <c r="BC58" i="23"/>
  <c r="BA58" i="23"/>
  <c r="K60" i="23"/>
  <c r="BA61" i="23"/>
  <c r="BC61" i="23"/>
  <c r="AY61" i="23"/>
  <c r="BC64" i="23"/>
  <c r="K75" i="23"/>
  <c r="AU82" i="23"/>
  <c r="AL82" i="23"/>
  <c r="AU86" i="23"/>
  <c r="AU91" i="23"/>
  <c r="AL91" i="23"/>
  <c r="AU66" i="23"/>
  <c r="AL66" i="23"/>
  <c r="K73" i="23"/>
  <c r="AU77" i="23"/>
  <c r="AL77" i="23"/>
  <c r="BC88" i="23"/>
  <c r="BA88" i="23"/>
  <c r="BA67" i="23"/>
  <c r="AY67" i="23"/>
  <c r="BA75" i="23"/>
  <c r="BC75" i="23"/>
  <c r="AY75" i="23"/>
  <c r="BA82" i="23"/>
  <c r="AY82" i="23"/>
  <c r="BC82" i="23"/>
  <c r="BA92" i="23"/>
  <c r="AY92" i="23"/>
  <c r="AX28" i="23"/>
  <c r="AX40" i="23"/>
  <c r="K67" i="23"/>
  <c r="BC67" i="23"/>
  <c r="K79" i="23"/>
  <c r="AU89" i="23"/>
  <c r="BC92" i="23"/>
  <c r="AX66" i="23"/>
  <c r="AU70" i="23"/>
  <c r="AL70" i="23"/>
  <c r="K80" i="23"/>
  <c r="AX70" i="23"/>
  <c r="AU73" i="23"/>
  <c r="K87" i="23"/>
  <c r="K88" i="23"/>
  <c r="K95" i="23"/>
  <c r="K76" i="23"/>
  <c r="AX78" i="23"/>
  <c r="AX90" i="23"/>
  <c r="AX93" i="23"/>
  <c r="K84" i="23"/>
  <c r="AU95" i="23"/>
  <c r="AL95" i="23"/>
  <c r="K72" i="23"/>
  <c r="BA89" i="23"/>
  <c r="AX94" i="23"/>
  <c r="K96" i="23"/>
  <c r="AY96" i="23"/>
  <c r="BA96" i="23"/>
  <c r="F2" i="22"/>
  <c r="B61" i="20"/>
  <c r="B73" i="20"/>
  <c r="B94" i="20"/>
  <c r="A94" i="20"/>
  <c r="B106" i="20"/>
  <c r="A106" i="20"/>
  <c r="B108" i="20"/>
  <c r="B120" i="20"/>
  <c r="B126" i="20"/>
  <c r="A126" i="20"/>
  <c r="B130" i="20"/>
  <c r="A130" i="20"/>
  <c r="B140" i="20"/>
  <c r="B154" i="20"/>
  <c r="A154" i="20"/>
  <c r="B158" i="20"/>
  <c r="A158" i="20"/>
  <c r="B162" i="20"/>
  <c r="A162" i="20"/>
  <c r="B166" i="20"/>
  <c r="A166" i="20"/>
  <c r="B174" i="20"/>
  <c r="A174" i="20"/>
  <c r="B178" i="20"/>
  <c r="A178" i="20"/>
  <c r="B180" i="20"/>
  <c r="B182" i="20"/>
  <c r="A182" i="20"/>
  <c r="B186" i="20"/>
  <c r="A186" i="20"/>
  <c r="B194" i="20"/>
  <c r="A194" i="20"/>
  <c r="B198" i="20"/>
  <c r="A198" i="20"/>
  <c r="B202" i="20"/>
  <c r="A202" i="20"/>
  <c r="A280" i="20"/>
  <c r="B280" i="20"/>
  <c r="A55" i="20"/>
  <c r="A59" i="20"/>
  <c r="A63" i="20"/>
  <c r="A67" i="20"/>
  <c r="A71" i="20"/>
  <c r="A75" i="20"/>
  <c r="A79" i="20"/>
  <c r="A83" i="20"/>
  <c r="A87" i="20"/>
  <c r="B91" i="20"/>
  <c r="A93" i="20"/>
  <c r="A208" i="20"/>
  <c r="A213" i="20"/>
  <c r="A218" i="20"/>
  <c r="B220" i="20"/>
  <c r="A224" i="20"/>
  <c r="A229" i="20"/>
  <c r="A259" i="20"/>
  <c r="B259" i="20"/>
  <c r="A274" i="20"/>
  <c r="B110" i="20"/>
  <c r="A110" i="20"/>
  <c r="B114" i="20"/>
  <c r="A114" i="20"/>
  <c r="B116" i="20"/>
  <c r="B118" i="20"/>
  <c r="A118" i="20"/>
  <c r="B124" i="20"/>
  <c r="B128" i="20"/>
  <c r="B132" i="20"/>
  <c r="B134" i="20"/>
  <c r="A134" i="20"/>
  <c r="B138" i="20"/>
  <c r="A138" i="20"/>
  <c r="B150" i="20"/>
  <c r="A150" i="20"/>
  <c r="B156" i="20"/>
  <c r="B160" i="20"/>
  <c r="B164" i="20"/>
  <c r="B168" i="20"/>
  <c r="B170" i="20"/>
  <c r="A170" i="20"/>
  <c r="B219" i="20"/>
  <c r="A219" i="20"/>
  <c r="A54" i="20"/>
  <c r="A58" i="20"/>
  <c r="A62" i="20"/>
  <c r="A66" i="20"/>
  <c r="A70" i="20"/>
  <c r="A74" i="20"/>
  <c r="A78" i="20"/>
  <c r="A82" i="20"/>
  <c r="A86" i="20"/>
  <c r="B95" i="20"/>
  <c r="B97" i="20"/>
  <c r="B99" i="20"/>
  <c r="B101" i="20"/>
  <c r="B103" i="20"/>
  <c r="B105" i="20"/>
  <c r="B107" i="20"/>
  <c r="B109" i="20"/>
  <c r="B111" i="20"/>
  <c r="B113" i="20"/>
  <c r="B115" i="20"/>
  <c r="B117" i="20"/>
  <c r="B119" i="20"/>
  <c r="B121" i="20"/>
  <c r="B123" i="20"/>
  <c r="B125" i="20"/>
  <c r="B127" i="20"/>
  <c r="B129" i="20"/>
  <c r="B131" i="20"/>
  <c r="B133" i="20"/>
  <c r="B135" i="20"/>
  <c r="B137" i="20"/>
  <c r="B139" i="20"/>
  <c r="B141" i="20"/>
  <c r="B143" i="20"/>
  <c r="B145" i="20"/>
  <c r="B147" i="20"/>
  <c r="B149" i="20"/>
  <c r="B151" i="20"/>
  <c r="B153" i="20"/>
  <c r="B155" i="20"/>
  <c r="B157" i="20"/>
  <c r="B159" i="20"/>
  <c r="B161" i="20"/>
  <c r="B163" i="20"/>
  <c r="B165" i="20"/>
  <c r="B167" i="20"/>
  <c r="B169" i="20"/>
  <c r="B171" i="20"/>
  <c r="B173" i="20"/>
  <c r="B175" i="20"/>
  <c r="B177" i="20"/>
  <c r="B179" i="20"/>
  <c r="B181" i="20"/>
  <c r="B183" i="20"/>
  <c r="B185" i="20"/>
  <c r="B187" i="20"/>
  <c r="B189" i="20"/>
  <c r="B191" i="20"/>
  <c r="B193" i="20"/>
  <c r="B195" i="20"/>
  <c r="B197" i="20"/>
  <c r="B199" i="20"/>
  <c r="B201" i="20"/>
  <c r="B203" i="20"/>
  <c r="B205" i="20"/>
  <c r="B209" i="20"/>
  <c r="B211" i="20"/>
  <c r="A211" i="20"/>
  <c r="A214" i="20"/>
  <c r="B216" i="20"/>
  <c r="B221" i="20"/>
  <c r="B225" i="20"/>
  <c r="B227" i="20"/>
  <c r="A227" i="20"/>
  <c r="A230" i="20"/>
  <c r="B232" i="20"/>
  <c r="A264" i="20"/>
  <c r="B264" i="20"/>
  <c r="B69" i="20"/>
  <c r="B89" i="20"/>
  <c r="B96" i="20"/>
  <c r="B98" i="20"/>
  <c r="A98" i="20"/>
  <c r="B100" i="20"/>
  <c r="B102" i="20"/>
  <c r="A102" i="20"/>
  <c r="B112" i="20"/>
  <c r="B122" i="20"/>
  <c r="A122" i="20"/>
  <c r="B142" i="20"/>
  <c r="A142" i="20"/>
  <c r="B146" i="20"/>
  <c r="A146" i="20"/>
  <c r="B152" i="20"/>
  <c r="B190" i="20"/>
  <c r="A190" i="20"/>
  <c r="A90" i="20"/>
  <c r="A210" i="20"/>
  <c r="A226" i="20"/>
  <c r="A275" i="20"/>
  <c r="B275" i="20"/>
  <c r="B285" i="20"/>
  <c r="A285" i="20"/>
  <c r="B293" i="20"/>
  <c r="A293" i="20"/>
  <c r="B301" i="20"/>
  <c r="A301" i="20"/>
  <c r="B309" i="20"/>
  <c r="A309" i="20"/>
  <c r="B317" i="20"/>
  <c r="A317" i="20"/>
  <c r="B325" i="20"/>
  <c r="A325" i="20"/>
  <c r="B333" i="20"/>
  <c r="A333" i="20"/>
  <c r="B341" i="20"/>
  <c r="A341" i="20"/>
  <c r="B349" i="20"/>
  <c r="A349" i="20"/>
  <c r="B262" i="20"/>
  <c r="A262" i="20"/>
  <c r="B278" i="20"/>
  <c r="A278" i="20"/>
  <c r="B283" i="20"/>
  <c r="A283" i="20"/>
  <c r="B291" i="20"/>
  <c r="A291" i="20"/>
  <c r="B299" i="20"/>
  <c r="A299" i="20"/>
  <c r="B307" i="20"/>
  <c r="A307" i="20"/>
  <c r="B315" i="20"/>
  <c r="A315" i="20"/>
  <c r="B323" i="20"/>
  <c r="A323" i="20"/>
  <c r="B331" i="20"/>
  <c r="A331" i="20"/>
  <c r="B339" i="20"/>
  <c r="A339" i="20"/>
  <c r="B347" i="20"/>
  <c r="A347" i="20"/>
  <c r="A236" i="20"/>
  <c r="A240" i="20"/>
  <c r="A244" i="20"/>
  <c r="A248" i="20"/>
  <c r="A252" i="20"/>
  <c r="A256" i="20"/>
  <c r="A261" i="20"/>
  <c r="B263" i="20"/>
  <c r="A267" i="20"/>
  <c r="A272" i="20"/>
  <c r="A277" i="20"/>
  <c r="B279" i="20"/>
  <c r="B289" i="20"/>
  <c r="A289" i="20"/>
  <c r="B297" i="20"/>
  <c r="A297" i="20"/>
  <c r="B305" i="20"/>
  <c r="A305" i="20"/>
  <c r="B313" i="20"/>
  <c r="A313" i="20"/>
  <c r="B321" i="20"/>
  <c r="A321" i="20"/>
  <c r="B329" i="20"/>
  <c r="A329" i="20"/>
  <c r="B337" i="20"/>
  <c r="A337" i="20"/>
  <c r="B345" i="20"/>
  <c r="A345" i="20"/>
  <c r="B206" i="20"/>
  <c r="A209" i="20"/>
  <c r="B214" i="20"/>
  <c r="A217" i="20"/>
  <c r="B222" i="20"/>
  <c r="A225" i="20"/>
  <c r="B230" i="20"/>
  <c r="A233" i="20"/>
  <c r="B237" i="20"/>
  <c r="A237" i="20"/>
  <c r="B241" i="20"/>
  <c r="A241" i="20"/>
  <c r="B245" i="20"/>
  <c r="A245" i="20"/>
  <c r="B249" i="20"/>
  <c r="A249" i="20"/>
  <c r="B253" i="20"/>
  <c r="A253" i="20"/>
  <c r="A257" i="20"/>
  <c r="B268" i="20"/>
  <c r="B270" i="20"/>
  <c r="A270" i="20"/>
  <c r="A273" i="20"/>
  <c r="B287" i="20"/>
  <c r="A287" i="20"/>
  <c r="B295" i="20"/>
  <c r="A295" i="20"/>
  <c r="B303" i="20"/>
  <c r="A303" i="20"/>
  <c r="B311" i="20"/>
  <c r="A311" i="20"/>
  <c r="B319" i="20"/>
  <c r="A319" i="20"/>
  <c r="B327" i="20"/>
  <c r="A327" i="20"/>
  <c r="B335" i="20"/>
  <c r="A335" i="20"/>
  <c r="B343" i="20"/>
  <c r="A343" i="20"/>
  <c r="B351" i="20"/>
  <c r="A351" i="20"/>
  <c r="A284" i="20"/>
  <c r="A288" i="20"/>
  <c r="A292" i="20"/>
  <c r="A296" i="20"/>
  <c r="A300" i="20"/>
  <c r="A304" i="20"/>
  <c r="A310" i="20"/>
  <c r="A314" i="20"/>
  <c r="A318" i="20"/>
  <c r="A322" i="20"/>
  <c r="A326" i="20"/>
  <c r="A330" i="20"/>
  <c r="A334" i="20"/>
  <c r="A338" i="20"/>
  <c r="A342" i="20"/>
  <c r="A346" i="20"/>
  <c r="A350" i="20"/>
  <c r="A354" i="20"/>
  <c r="A358" i="20"/>
  <c r="A362" i="20"/>
  <c r="A366" i="20"/>
  <c r="A370" i="20"/>
  <c r="A374" i="20"/>
  <c r="A378" i="20"/>
  <c r="A382" i="20"/>
  <c r="A386" i="20"/>
  <c r="A390" i="20"/>
  <c r="A394" i="20"/>
  <c r="A398" i="20"/>
  <c r="B400" i="20"/>
  <c r="A400" i="20"/>
  <c r="A403" i="20"/>
  <c r="B403" i="20"/>
  <c r="B408" i="20"/>
  <c r="A408" i="20"/>
  <c r="A411" i="20"/>
  <c r="B411" i="20"/>
  <c r="B416" i="20"/>
  <c r="A416" i="20"/>
  <c r="A419" i="20"/>
  <c r="B419" i="20"/>
  <c r="B424" i="20"/>
  <c r="A424" i="20"/>
  <c r="A427" i="20"/>
  <c r="B427" i="20"/>
  <c r="B432" i="20"/>
  <c r="A432" i="20"/>
  <c r="A435" i="20"/>
  <c r="B435" i="20"/>
  <c r="B440" i="20"/>
  <c r="A440" i="20"/>
  <c r="A443" i="20"/>
  <c r="B443" i="20"/>
  <c r="B257" i="20"/>
  <c r="A260" i="20"/>
  <c r="B265" i="20"/>
  <c r="A268" i="20"/>
  <c r="B273" i="20"/>
  <c r="A276" i="20"/>
  <c r="B281" i="20"/>
  <c r="A286" i="20"/>
  <c r="A290" i="20"/>
  <c r="A294" i="20"/>
  <c r="A298" i="20"/>
  <c r="A302" i="20"/>
  <c r="A306" i="20"/>
  <c r="A308" i="20"/>
  <c r="A312" i="20"/>
  <c r="A316" i="20"/>
  <c r="A320" i="20"/>
  <c r="A324" i="20"/>
  <c r="A328" i="20"/>
  <c r="A332" i="20"/>
  <c r="A336" i="20"/>
  <c r="A340" i="20"/>
  <c r="A344" i="20"/>
  <c r="A348" i="20"/>
  <c r="A352" i="20"/>
  <c r="A353" i="20"/>
  <c r="A355" i="20"/>
  <c r="A356" i="20"/>
  <c r="A357" i="20"/>
  <c r="A359" i="20"/>
  <c r="A360" i="20"/>
  <c r="A361" i="20"/>
  <c r="A363" i="20"/>
  <c r="A364" i="20"/>
  <c r="A365" i="20"/>
  <c r="A367" i="20"/>
  <c r="A368" i="20"/>
  <c r="A369" i="20"/>
  <c r="A371" i="20"/>
  <c r="A372" i="20"/>
  <c r="A373" i="20"/>
  <c r="A375" i="20"/>
  <c r="A376" i="20"/>
  <c r="A377" i="20"/>
  <c r="A379" i="20"/>
  <c r="A380" i="20"/>
  <c r="A381" i="20"/>
  <c r="A383" i="20"/>
  <c r="A384" i="20"/>
  <c r="A385" i="20"/>
  <c r="A387" i="20"/>
  <c r="A388" i="20"/>
  <c r="A389" i="20"/>
  <c r="A391" i="20"/>
  <c r="A392" i="20"/>
  <c r="A393" i="20"/>
  <c r="A395" i="20"/>
  <c r="A396" i="20"/>
  <c r="A397" i="20"/>
  <c r="A399" i="20"/>
  <c r="B401" i="20"/>
  <c r="A406" i="20"/>
  <c r="B409" i="20"/>
  <c r="A414" i="20"/>
  <c r="B417" i="20"/>
  <c r="A422" i="20"/>
  <c r="B425" i="20"/>
  <c r="A430" i="20"/>
  <c r="B433" i="20"/>
  <c r="A438" i="20"/>
  <c r="B441" i="20"/>
  <c r="B404" i="20"/>
  <c r="A404" i="20"/>
  <c r="A407" i="20"/>
  <c r="B407" i="20"/>
  <c r="B412" i="20"/>
  <c r="A412" i="20"/>
  <c r="A415" i="20"/>
  <c r="B415" i="20"/>
  <c r="B420" i="20"/>
  <c r="A420" i="20"/>
  <c r="A423" i="20"/>
  <c r="B423" i="20"/>
  <c r="B428" i="20"/>
  <c r="A428" i="20"/>
  <c r="A431" i="20"/>
  <c r="B431" i="20"/>
  <c r="B436" i="20"/>
  <c r="A436" i="20"/>
  <c r="A439" i="20"/>
  <c r="B439" i="20"/>
  <c r="B444" i="20"/>
  <c r="A444" i="20"/>
  <c r="F95" i="22"/>
  <c r="F80" i="22"/>
  <c r="F79" i="22"/>
  <c r="I4" i="24"/>
  <c r="I10" i="24"/>
  <c r="J60" i="21" l="1"/>
  <c r="J62" i="21"/>
  <c r="J64" i="21"/>
  <c r="J65" i="21"/>
  <c r="J61" i="21"/>
  <c r="J59" i="21"/>
  <c r="J63" i="21"/>
  <c r="O60" i="21"/>
  <c r="O64" i="21"/>
  <c r="O59" i="21"/>
  <c r="O61" i="21"/>
  <c r="O63" i="21"/>
  <c r="O65" i="21"/>
  <c r="O62" i="21"/>
  <c r="J38" i="21"/>
  <c r="O29" i="21"/>
  <c r="D47" i="6" a="1"/>
  <c r="D47" i="6" s="1"/>
  <c r="D48" i="6" s="1" a="1"/>
  <c r="D48" i="6" s="1"/>
  <c r="D49" i="6" s="1"/>
  <c r="E45" i="6"/>
  <c r="E46" i="6" s="1" a="1"/>
  <c r="E46" i="6" s="1"/>
  <c r="AJ60" i="6"/>
  <c r="H44" i="6"/>
  <c r="I17" i="24"/>
  <c r="I87" i="21" s="1"/>
  <c r="J50" i="21"/>
  <c r="J55" i="21"/>
  <c r="J53" i="21"/>
  <c r="J36" i="21"/>
  <c r="J41" i="21"/>
  <c r="J51" i="21"/>
  <c r="J43" i="21"/>
  <c r="J42" i="21"/>
  <c r="J49" i="21"/>
  <c r="J35" i="21"/>
  <c r="J56" i="21"/>
  <c r="J40" i="21"/>
  <c r="J47" i="21"/>
  <c r="J46" i="21"/>
  <c r="J52" i="21"/>
  <c r="J48" i="21"/>
  <c r="J32" i="21"/>
  <c r="J57" i="21"/>
  <c r="J58" i="21"/>
  <c r="O43" i="21"/>
  <c r="O36" i="21"/>
  <c r="O34" i="21"/>
  <c r="O66" i="21"/>
  <c r="O58" i="21"/>
  <c r="O56" i="21"/>
  <c r="O54" i="21"/>
  <c r="O52" i="21"/>
  <c r="O50" i="21"/>
  <c r="O48" i="21"/>
  <c r="O46" i="21"/>
  <c r="O41" i="21"/>
  <c r="O32" i="21"/>
  <c r="O30" i="21"/>
  <c r="O44" i="21"/>
  <c r="O39" i="21"/>
  <c r="O37" i="21"/>
  <c r="O35" i="21"/>
  <c r="O42" i="21"/>
  <c r="O57" i="21"/>
  <c r="O55" i="21"/>
  <c r="O53" i="21"/>
  <c r="O51" i="21"/>
  <c r="O49" i="21"/>
  <c r="O47" i="21"/>
  <c r="O45" i="21"/>
  <c r="O33" i="21"/>
  <c r="O31" i="21"/>
  <c r="O40" i="21"/>
  <c r="O38" i="21"/>
  <c r="J34" i="21"/>
  <c r="J66" i="21"/>
  <c r="J44" i="21"/>
  <c r="J39" i="21"/>
  <c r="J37" i="21"/>
  <c r="I82" i="21"/>
  <c r="I73" i="21"/>
  <c r="J33" i="21"/>
  <c r="J31" i="21"/>
  <c r="J45" i="21"/>
  <c r="J54" i="21"/>
  <c r="J30" i="21"/>
  <c r="J29" i="21"/>
  <c r="AY93" i="23"/>
  <c r="BC93" i="23"/>
  <c r="BA93" i="23"/>
  <c r="BC28" i="23"/>
  <c r="BA28" i="23"/>
  <c r="AY28" i="23"/>
  <c r="AD94" i="23"/>
  <c r="U94" i="23"/>
  <c r="X94" i="23" s="1"/>
  <c r="AD90" i="23"/>
  <c r="U90" i="23"/>
  <c r="X90" i="23" s="1"/>
  <c r="AD86" i="23"/>
  <c r="U86" i="23"/>
  <c r="X86" i="23" s="1"/>
  <c r="AD82" i="23"/>
  <c r="U82" i="23"/>
  <c r="X82" i="23" s="1"/>
  <c r="AD78" i="23"/>
  <c r="U78" i="23"/>
  <c r="X78" i="23" s="1"/>
  <c r="AD74" i="23"/>
  <c r="U74" i="23"/>
  <c r="X74" i="23" s="1"/>
  <c r="Y96" i="23"/>
  <c r="Z96" i="23" s="1"/>
  <c r="AD95" i="23"/>
  <c r="AC95" i="23"/>
  <c r="AD96" i="23"/>
  <c r="AC96" i="23"/>
  <c r="AA95" i="23"/>
  <c r="AB95" i="23" s="1"/>
  <c r="Y94" i="23"/>
  <c r="Z94" i="23" s="1"/>
  <c r="AC92" i="23"/>
  <c r="AA91" i="23"/>
  <c r="AB91" i="23" s="1"/>
  <c r="Y90" i="23"/>
  <c r="Z90" i="23" s="1"/>
  <c r="AD93" i="23"/>
  <c r="U93" i="23"/>
  <c r="X93" i="23" s="1"/>
  <c r="AD89" i="23"/>
  <c r="U89" i="23"/>
  <c r="X89" i="23" s="1"/>
  <c r="AD85" i="23"/>
  <c r="U85" i="23"/>
  <c r="X85" i="23" s="1"/>
  <c r="AD81" i="23"/>
  <c r="U81" i="23"/>
  <c r="X81" i="23" s="1"/>
  <c r="AD77" i="23"/>
  <c r="U77" i="23"/>
  <c r="X77" i="23" s="1"/>
  <c r="AD73" i="23"/>
  <c r="U73" i="23"/>
  <c r="X73" i="23" s="1"/>
  <c r="AA96" i="23"/>
  <c r="AB96" i="23" s="1"/>
  <c r="AC93" i="23"/>
  <c r="AD92" i="23"/>
  <c r="U91" i="23"/>
  <c r="X91" i="23" s="1"/>
  <c r="AC90" i="23"/>
  <c r="AA88" i="23"/>
  <c r="AB88" i="23" s="1"/>
  <c r="AA87" i="23"/>
  <c r="AB87" i="23" s="1"/>
  <c r="Y86" i="23"/>
  <c r="Z86" i="23" s="1"/>
  <c r="U80" i="23"/>
  <c r="X80" i="23" s="1"/>
  <c r="AC78" i="23"/>
  <c r="AC77" i="23"/>
  <c r="AD76" i="23"/>
  <c r="AC75" i="23"/>
  <c r="AA74" i="23"/>
  <c r="AB74" i="23" s="1"/>
  <c r="AC72" i="23"/>
  <c r="U71" i="23"/>
  <c r="X71" i="23" s="1"/>
  <c r="AA70" i="23"/>
  <c r="AB70" i="23" s="1"/>
  <c r="Y69" i="23"/>
  <c r="Z69" i="23" s="1"/>
  <c r="AC67" i="23"/>
  <c r="AA66" i="23"/>
  <c r="AB66" i="23" s="1"/>
  <c r="Y65" i="23"/>
  <c r="Z65" i="23" s="1"/>
  <c r="Y95" i="23"/>
  <c r="Z95" i="23" s="1"/>
  <c r="AA93" i="23"/>
  <c r="AB93" i="23" s="1"/>
  <c r="AA92" i="23"/>
  <c r="AB92" i="23" s="1"/>
  <c r="Y89" i="23"/>
  <c r="Z89" i="23" s="1"/>
  <c r="Y88" i="23"/>
  <c r="Z88" i="23" s="1"/>
  <c r="Y87" i="23"/>
  <c r="Z87" i="23" s="1"/>
  <c r="U83" i="23"/>
  <c r="X83" i="23" s="1"/>
  <c r="AD79" i="23"/>
  <c r="AA77" i="23"/>
  <c r="AB77" i="23" s="1"/>
  <c r="AC76" i="23"/>
  <c r="Y73" i="23"/>
  <c r="Z73" i="23" s="1"/>
  <c r="AD71" i="23"/>
  <c r="AD68" i="23"/>
  <c r="U68" i="23"/>
  <c r="X68" i="23" s="1"/>
  <c r="AD64" i="23"/>
  <c r="U64" i="23"/>
  <c r="X64" i="23" s="1"/>
  <c r="AD60" i="23"/>
  <c r="U60" i="23"/>
  <c r="X60" i="23" s="1"/>
  <c r="AA94" i="23"/>
  <c r="AB94" i="23" s="1"/>
  <c r="U92" i="23"/>
  <c r="X92" i="23" s="1"/>
  <c r="AD87" i="23"/>
  <c r="AA85" i="23"/>
  <c r="AB85" i="23" s="1"/>
  <c r="AC84" i="23"/>
  <c r="Y81" i="23"/>
  <c r="Z81" i="23" s="1"/>
  <c r="Y80" i="23"/>
  <c r="Z80" i="23" s="1"/>
  <c r="Y79" i="23"/>
  <c r="Z79" i="23" s="1"/>
  <c r="U75" i="23"/>
  <c r="X75" i="23" s="1"/>
  <c r="AD70" i="23"/>
  <c r="U70" i="23"/>
  <c r="X70" i="23" s="1"/>
  <c r="AD66" i="23"/>
  <c r="U66" i="23"/>
  <c r="X66" i="23" s="1"/>
  <c r="AD62" i="23"/>
  <c r="U62" i="23"/>
  <c r="X62" i="23" s="1"/>
  <c r="AC86" i="23"/>
  <c r="AE86" i="23" s="1"/>
  <c r="AF86" i="23" s="1"/>
  <c r="AA84" i="23"/>
  <c r="AB84" i="23" s="1"/>
  <c r="AC79" i="23"/>
  <c r="Y76" i="23"/>
  <c r="Z76" i="23" s="1"/>
  <c r="AD75" i="23"/>
  <c r="U72" i="23"/>
  <c r="X72" i="23" s="1"/>
  <c r="AC69" i="23"/>
  <c r="U67" i="23"/>
  <c r="X67" i="23" s="1"/>
  <c r="AD63" i="23"/>
  <c r="AC62" i="23"/>
  <c r="AC61" i="23"/>
  <c r="AC59" i="23"/>
  <c r="AD56" i="23"/>
  <c r="U56" i="23"/>
  <c r="X56" i="23" s="1"/>
  <c r="AD52" i="23"/>
  <c r="U52" i="23"/>
  <c r="X52" i="23" s="1"/>
  <c r="AD48" i="23"/>
  <c r="U48" i="23"/>
  <c r="X48" i="23" s="1"/>
  <c r="AD44" i="23"/>
  <c r="U44" i="23"/>
  <c r="X44" i="23" s="1"/>
  <c r="AD40" i="23"/>
  <c r="U40" i="23"/>
  <c r="X40" i="23" s="1"/>
  <c r="AD36" i="23"/>
  <c r="U36" i="23"/>
  <c r="X36" i="23" s="1"/>
  <c r="AD32" i="23"/>
  <c r="U32" i="23"/>
  <c r="X32" i="23" s="1"/>
  <c r="AD28" i="23"/>
  <c r="U28" i="23"/>
  <c r="X28" i="23" s="1"/>
  <c r="AD24" i="23"/>
  <c r="U24" i="23"/>
  <c r="X24" i="23" s="1"/>
  <c r="AD20" i="23"/>
  <c r="U95" i="23"/>
  <c r="X95" i="23" s="1"/>
  <c r="U88" i="23"/>
  <c r="X88" i="23" s="1"/>
  <c r="U87" i="23"/>
  <c r="X87" i="23" s="1"/>
  <c r="AA86" i="23"/>
  <c r="AB86" i="23" s="1"/>
  <c r="Y84" i="23"/>
  <c r="Z84" i="23" s="1"/>
  <c r="AA75" i="23"/>
  <c r="AB75" i="23" s="1"/>
  <c r="Y74" i="23"/>
  <c r="Z74" i="23" s="1"/>
  <c r="AC73" i="23"/>
  <c r="AE73" i="23" s="1"/>
  <c r="AF73" i="23" s="1"/>
  <c r="AA71" i="23"/>
  <c r="AB71" i="23" s="1"/>
  <c r="AA69" i="23"/>
  <c r="AB69" i="23" s="1"/>
  <c r="Y66" i="23"/>
  <c r="Z66" i="23" s="1"/>
  <c r="U65" i="23"/>
  <c r="X65" i="23" s="1"/>
  <c r="AC64" i="23"/>
  <c r="AE64" i="23" s="1"/>
  <c r="AF64" i="23" s="1"/>
  <c r="AC63" i="23"/>
  <c r="AA61" i="23"/>
  <c r="AB61" i="23" s="1"/>
  <c r="AA60" i="23"/>
  <c r="AB60" i="23" s="1"/>
  <c r="Y58" i="23"/>
  <c r="Z58" i="23" s="1"/>
  <c r="AC56" i="23"/>
  <c r="AE56" i="23" s="1"/>
  <c r="AF56" i="23" s="1"/>
  <c r="AA55" i="23"/>
  <c r="AB55" i="23" s="1"/>
  <c r="Y54" i="23"/>
  <c r="Z54" i="23" s="1"/>
  <c r="AC52" i="23"/>
  <c r="AA51" i="23"/>
  <c r="AB51" i="23" s="1"/>
  <c r="Y50" i="23"/>
  <c r="Z50" i="23" s="1"/>
  <c r="AC48" i="23"/>
  <c r="AA47" i="23"/>
  <c r="AB47" i="23" s="1"/>
  <c r="Y46" i="23"/>
  <c r="Z46" i="23" s="1"/>
  <c r="AC44" i="23"/>
  <c r="AA43" i="23"/>
  <c r="AB43" i="23" s="1"/>
  <c r="AA89" i="23"/>
  <c r="AB89" i="23" s="1"/>
  <c r="AD88" i="23"/>
  <c r="Y83" i="23"/>
  <c r="Z83" i="23" s="1"/>
  <c r="Y82" i="23"/>
  <c r="Z82" i="23" s="1"/>
  <c r="AD80" i="23"/>
  <c r="Y78" i="23"/>
  <c r="Z78" i="23" s="1"/>
  <c r="Y72" i="23"/>
  <c r="Z72" i="23" s="1"/>
  <c r="AC65" i="23"/>
  <c r="U61" i="23"/>
  <c r="X61" i="23" s="1"/>
  <c r="AC58" i="23"/>
  <c r="AA57" i="23"/>
  <c r="AB57" i="23" s="1"/>
  <c r="Y56" i="23"/>
  <c r="Z56" i="23" s="1"/>
  <c r="AC54" i="23"/>
  <c r="AA53" i="23"/>
  <c r="AB53" i="23" s="1"/>
  <c r="Y52" i="23"/>
  <c r="Z52" i="23" s="1"/>
  <c r="AC50" i="23"/>
  <c r="AA49" i="23"/>
  <c r="AB49" i="23" s="1"/>
  <c r="Y48" i="23"/>
  <c r="Z48" i="23" s="1"/>
  <c r="AC46" i="23"/>
  <c r="AA45" i="23"/>
  <c r="AB45" i="23" s="1"/>
  <c r="Y44" i="23"/>
  <c r="Z44" i="23" s="1"/>
  <c r="AC42" i="23"/>
  <c r="AA41" i="23"/>
  <c r="AB41" i="23" s="1"/>
  <c r="Y40" i="23"/>
  <c r="Z40" i="23" s="1"/>
  <c r="AC38" i="23"/>
  <c r="AA37" i="23"/>
  <c r="AB37" i="23" s="1"/>
  <c r="AC82" i="23"/>
  <c r="AC81" i="23"/>
  <c r="AE81" i="23" s="1"/>
  <c r="AF81" i="23" s="1"/>
  <c r="U63" i="23"/>
  <c r="X63" i="23" s="1"/>
  <c r="Y62" i="23"/>
  <c r="Z62" i="23" s="1"/>
  <c r="AD61" i="23"/>
  <c r="U55" i="23"/>
  <c r="X55" i="23" s="1"/>
  <c r="U54" i="23"/>
  <c r="X54" i="23" s="1"/>
  <c r="AA52" i="23"/>
  <c r="AB52" i="23" s="1"/>
  <c r="AC49" i="23"/>
  <c r="AD45" i="23"/>
  <c r="Y43" i="23"/>
  <c r="Z43" i="23" s="1"/>
  <c r="AA42" i="23"/>
  <c r="AB42" i="23" s="1"/>
  <c r="Y41" i="23"/>
  <c r="Z41" i="23" s="1"/>
  <c r="AD38" i="23"/>
  <c r="AA34" i="23"/>
  <c r="AB34" i="23" s="1"/>
  <c r="AC33" i="23"/>
  <c r="AD30" i="23"/>
  <c r="AD27" i="23"/>
  <c r="AD91" i="23"/>
  <c r="AC89" i="23"/>
  <c r="AE89" i="23" s="1"/>
  <c r="AF89" i="23" s="1"/>
  <c r="AA81" i="23"/>
  <c r="AB81" i="23" s="1"/>
  <c r="U79" i="23"/>
  <c r="X79" i="23" s="1"/>
  <c r="AC70" i="23"/>
  <c r="AE70" i="23" s="1"/>
  <c r="AF70" i="23" s="1"/>
  <c r="AD69" i="23"/>
  <c r="AA64" i="23"/>
  <c r="AB64" i="23" s="1"/>
  <c r="AC60" i="23"/>
  <c r="AE60" i="23" s="1"/>
  <c r="AF60" i="23" s="1"/>
  <c r="Y57" i="23"/>
  <c r="Z57" i="23" s="1"/>
  <c r="U51" i="23"/>
  <c r="X51" i="23" s="1"/>
  <c r="U50" i="23"/>
  <c r="X50" i="23" s="1"/>
  <c r="AA48" i="23"/>
  <c r="AB48" i="23" s="1"/>
  <c r="AC45" i="23"/>
  <c r="Y42" i="23"/>
  <c r="Z42" i="23" s="1"/>
  <c r="Y39" i="23"/>
  <c r="Z39" i="23" s="1"/>
  <c r="AA36" i="23"/>
  <c r="AB36" i="23" s="1"/>
  <c r="U35" i="23"/>
  <c r="X35" i="23" s="1"/>
  <c r="Y34" i="23"/>
  <c r="Z34" i="23" s="1"/>
  <c r="Y93" i="23"/>
  <c r="Z93" i="23" s="1"/>
  <c r="AC85" i="23"/>
  <c r="AE85" i="23" s="1"/>
  <c r="AF85" i="23" s="1"/>
  <c r="Y77" i="23"/>
  <c r="Z77" i="23" s="1"/>
  <c r="AC74" i="23"/>
  <c r="Y71" i="23"/>
  <c r="Z71" i="23" s="1"/>
  <c r="AD67" i="23"/>
  <c r="AC66" i="23"/>
  <c r="AE66" i="23" s="1"/>
  <c r="AF66" i="23" s="1"/>
  <c r="Y59" i="23"/>
  <c r="Z59" i="23" s="1"/>
  <c r="AD57" i="23"/>
  <c r="Y55" i="23"/>
  <c r="Z55" i="23" s="1"/>
  <c r="AC87" i="23"/>
  <c r="AE87" i="23" s="1"/>
  <c r="AF87" i="23" s="1"/>
  <c r="Y85" i="23"/>
  <c r="Z85" i="23" s="1"/>
  <c r="AD83" i="23"/>
  <c r="AA80" i="23"/>
  <c r="AB80" i="23" s="1"/>
  <c r="AA72" i="23"/>
  <c r="AB72" i="23" s="1"/>
  <c r="U47" i="23"/>
  <c r="X47" i="23" s="1"/>
  <c r="AD39" i="23"/>
  <c r="Y38" i="23"/>
  <c r="Z38" i="23" s="1"/>
  <c r="AD37" i="23"/>
  <c r="AC31" i="23"/>
  <c r="AC28" i="23"/>
  <c r="AA22" i="23"/>
  <c r="AB22" i="23" s="1"/>
  <c r="AC21" i="23"/>
  <c r="AC19" i="23"/>
  <c r="AA18" i="23"/>
  <c r="AB18" i="23" s="1"/>
  <c r="Y17" i="23"/>
  <c r="Z17" i="23" s="1"/>
  <c r="AC15" i="23"/>
  <c r="AA14" i="23"/>
  <c r="AB14" i="23" s="1"/>
  <c r="Y13" i="23"/>
  <c r="Z13" i="23" s="1"/>
  <c r="AC11" i="23"/>
  <c r="AA9" i="23"/>
  <c r="AB9" i="23" s="1"/>
  <c r="Y7" i="23"/>
  <c r="Z7" i="23" s="1"/>
  <c r="AD4" i="23"/>
  <c r="U4" i="23"/>
  <c r="X4" i="23" s="1"/>
  <c r="AC83" i="23"/>
  <c r="AE83" i="23" s="1"/>
  <c r="AF83" i="23" s="1"/>
  <c r="Y70" i="23"/>
  <c r="Z70" i="23" s="1"/>
  <c r="Y61" i="23"/>
  <c r="Z61" i="23" s="1"/>
  <c r="AC57" i="23"/>
  <c r="AD55" i="23"/>
  <c r="U53" i="23"/>
  <c r="X53" i="23" s="1"/>
  <c r="U49" i="23"/>
  <c r="X49" i="23" s="1"/>
  <c r="AD46" i="23"/>
  <c r="AC39" i="23"/>
  <c r="AC37" i="23"/>
  <c r="AD35" i="23"/>
  <c r="AD34" i="23"/>
  <c r="Y33" i="23"/>
  <c r="Z33" i="23" s="1"/>
  <c r="Y32" i="23"/>
  <c r="Z32" i="23" s="1"/>
  <c r="AA31" i="23"/>
  <c r="AB31" i="23" s="1"/>
  <c r="AA30" i="23"/>
  <c r="AB30" i="23" s="1"/>
  <c r="AA29" i="23"/>
  <c r="AB29" i="23" s="1"/>
  <c r="AC27" i="23"/>
  <c r="U26" i="23"/>
  <c r="X26" i="23" s="1"/>
  <c r="Y25" i="23"/>
  <c r="Z25" i="23" s="1"/>
  <c r="AA24" i="23"/>
  <c r="AB24" i="23" s="1"/>
  <c r="U23" i="23"/>
  <c r="X23" i="23" s="1"/>
  <c r="Y22" i="23"/>
  <c r="Z22" i="23" s="1"/>
  <c r="U20" i="23"/>
  <c r="X20" i="23" s="1"/>
  <c r="AD16" i="23"/>
  <c r="U16" i="23"/>
  <c r="X16" i="23" s="1"/>
  <c r="AD12" i="23"/>
  <c r="U12" i="23"/>
  <c r="X12" i="23" s="1"/>
  <c r="AA10" i="23"/>
  <c r="AB10" i="23" s="1"/>
  <c r="Y8" i="23"/>
  <c r="Z8" i="23" s="1"/>
  <c r="AD5" i="23"/>
  <c r="U5" i="23"/>
  <c r="X5" i="23" s="1"/>
  <c r="AC4" i="23"/>
  <c r="AC94" i="23"/>
  <c r="AE94" i="23" s="1"/>
  <c r="AF94" i="23" s="1"/>
  <c r="AA83" i="23"/>
  <c r="AB83" i="23" s="1"/>
  <c r="AA78" i="23"/>
  <c r="AB78" i="23" s="1"/>
  <c r="AD59" i="23"/>
  <c r="AC55" i="23"/>
  <c r="AE55" i="23" s="1"/>
  <c r="AF55" i="23" s="1"/>
  <c r="U43" i="23"/>
  <c r="X43" i="23" s="1"/>
  <c r="U41" i="23"/>
  <c r="X41" i="23" s="1"/>
  <c r="AA39" i="23"/>
  <c r="AB39" i="23" s="1"/>
  <c r="Y37" i="23"/>
  <c r="Z37" i="23" s="1"/>
  <c r="AC35" i="23"/>
  <c r="AE35" i="23" s="1"/>
  <c r="AF35" i="23" s="1"/>
  <c r="AC34" i="23"/>
  <c r="AE34" i="23" s="1"/>
  <c r="AF34" i="23" s="1"/>
  <c r="Y31" i="23"/>
  <c r="Z31" i="23" s="1"/>
  <c r="Y30" i="23"/>
  <c r="Z30" i="23" s="1"/>
  <c r="AA28" i="23"/>
  <c r="AB28" i="23" s="1"/>
  <c r="AA27" i="23"/>
  <c r="AB27" i="23" s="1"/>
  <c r="AD26" i="23"/>
  <c r="AD23" i="23"/>
  <c r="AA21" i="23"/>
  <c r="AB21" i="23" s="1"/>
  <c r="AC20" i="23"/>
  <c r="AE20" i="23" s="1"/>
  <c r="AF20" i="23" s="1"/>
  <c r="AA19" i="23"/>
  <c r="AB19" i="23" s="1"/>
  <c r="Y18" i="23"/>
  <c r="Z18" i="23" s="1"/>
  <c r="AC16" i="23"/>
  <c r="AD84" i="23"/>
  <c r="AA76" i="23"/>
  <c r="AB76" i="23" s="1"/>
  <c r="AC68" i="23"/>
  <c r="AA59" i="23"/>
  <c r="AB59" i="23" s="1"/>
  <c r="AD58" i="23"/>
  <c r="AD50" i="23"/>
  <c r="AD47" i="23"/>
  <c r="AA46" i="23"/>
  <c r="AB46" i="23" s="1"/>
  <c r="AD42" i="23"/>
  <c r="AC40" i="23"/>
  <c r="AE40" i="23" s="1"/>
  <c r="AF40" i="23" s="1"/>
  <c r="U38" i="23"/>
  <c r="X38" i="23" s="1"/>
  <c r="AA35" i="23"/>
  <c r="AB35" i="23" s="1"/>
  <c r="U33" i="23"/>
  <c r="X33" i="23" s="1"/>
  <c r="Y29" i="23"/>
  <c r="Z29" i="23" s="1"/>
  <c r="U96" i="23"/>
  <c r="X96" i="23" s="1"/>
  <c r="Y92" i="23"/>
  <c r="Z92" i="23" s="1"/>
  <c r="AA90" i="23"/>
  <c r="AB90" i="23" s="1"/>
  <c r="AC88" i="23"/>
  <c r="AE88" i="23" s="1"/>
  <c r="AF88" i="23" s="1"/>
  <c r="AA68" i="23"/>
  <c r="AB68" i="23" s="1"/>
  <c r="AA67" i="23"/>
  <c r="AB67" i="23" s="1"/>
  <c r="AD65" i="23"/>
  <c r="AA62" i="23"/>
  <c r="AB62" i="23" s="1"/>
  <c r="U57" i="23"/>
  <c r="X57" i="23" s="1"/>
  <c r="AA56" i="23"/>
  <c r="AB56" i="23" s="1"/>
  <c r="AD51" i="23"/>
  <c r="AC47" i="23"/>
  <c r="Y45" i="23"/>
  <c r="Z45" i="23" s="1"/>
  <c r="U37" i="23"/>
  <c r="X37" i="23" s="1"/>
  <c r="U84" i="23"/>
  <c r="X84" i="23" s="1"/>
  <c r="AA82" i="23"/>
  <c r="AB82" i="23" s="1"/>
  <c r="U76" i="23"/>
  <c r="X76" i="23" s="1"/>
  <c r="AC71" i="23"/>
  <c r="AE71" i="23" s="1"/>
  <c r="AF71" i="23" s="1"/>
  <c r="Y68" i="23"/>
  <c r="Z68" i="23" s="1"/>
  <c r="Y67" i="23"/>
  <c r="Z67" i="23" s="1"/>
  <c r="AA65" i="23"/>
  <c r="AB65" i="23" s="1"/>
  <c r="Y64" i="23"/>
  <c r="Z64" i="23" s="1"/>
  <c r="AA58" i="23"/>
  <c r="AB58" i="23" s="1"/>
  <c r="AD54" i="23"/>
  <c r="AD53" i="23"/>
  <c r="AC51" i="23"/>
  <c r="AA50" i="23"/>
  <c r="AB50" i="23" s="1"/>
  <c r="AD49" i="23"/>
  <c r="U46" i="23"/>
  <c r="X46" i="23" s="1"/>
  <c r="AD41" i="23"/>
  <c r="AA40" i="23"/>
  <c r="AB40" i="23" s="1"/>
  <c r="U39" i="23"/>
  <c r="X39" i="23" s="1"/>
  <c r="AC36" i="23"/>
  <c r="Y35" i="23"/>
  <c r="Z35" i="23" s="1"/>
  <c r="AC32" i="23"/>
  <c r="U31" i="23"/>
  <c r="X31" i="23" s="1"/>
  <c r="U30" i="23"/>
  <c r="X30" i="23" s="1"/>
  <c r="U29" i="23"/>
  <c r="X29" i="23" s="1"/>
  <c r="AA26" i="23"/>
  <c r="AB26" i="23" s="1"/>
  <c r="AC25" i="23"/>
  <c r="AD22" i="23"/>
  <c r="AD18" i="23"/>
  <c r="U18" i="23"/>
  <c r="X18" i="23" s="1"/>
  <c r="AD14" i="23"/>
  <c r="U14" i="23"/>
  <c r="X14" i="23" s="1"/>
  <c r="AD9" i="23"/>
  <c r="U9" i="23"/>
  <c r="X9" i="23" s="1"/>
  <c r="AC8" i="23"/>
  <c r="AA6" i="23"/>
  <c r="AB6" i="23" s="1"/>
  <c r="Y4" i="23"/>
  <c r="Z4" i="23" s="1"/>
  <c r="AC91" i="23"/>
  <c r="AA79" i="23"/>
  <c r="AB79" i="23" s="1"/>
  <c r="AA63" i="23"/>
  <c r="AB63" i="23" s="1"/>
  <c r="Y60" i="23"/>
  <c r="Z60" i="23" s="1"/>
  <c r="U59" i="23"/>
  <c r="X59" i="23" s="1"/>
  <c r="AC53" i="23"/>
  <c r="Y47" i="23"/>
  <c r="Z47" i="23" s="1"/>
  <c r="U45" i="23"/>
  <c r="X45" i="23" s="1"/>
  <c r="AA44" i="23"/>
  <c r="AB44" i="23" s="1"/>
  <c r="AD43" i="23"/>
  <c r="AC41" i="23"/>
  <c r="U34" i="23"/>
  <c r="X34" i="23" s="1"/>
  <c r="AD33" i="23"/>
  <c r="Y91" i="23"/>
  <c r="Z91" i="23" s="1"/>
  <c r="AC80" i="23"/>
  <c r="AE80" i="23" s="1"/>
  <c r="AF80" i="23" s="1"/>
  <c r="Y75" i="23"/>
  <c r="Z75" i="23" s="1"/>
  <c r="AA73" i="23"/>
  <c r="AB73" i="23" s="1"/>
  <c r="AD72" i="23"/>
  <c r="U69" i="23"/>
  <c r="X69" i="23" s="1"/>
  <c r="Y63" i="23"/>
  <c r="Z63" i="23" s="1"/>
  <c r="U58" i="23"/>
  <c r="X58" i="23" s="1"/>
  <c r="AA54" i="23"/>
  <c r="AB54" i="23" s="1"/>
  <c r="Y53" i="23"/>
  <c r="Z53" i="23" s="1"/>
  <c r="Y51" i="23"/>
  <c r="Z51" i="23" s="1"/>
  <c r="Y49" i="23"/>
  <c r="Z49" i="23" s="1"/>
  <c r="AC43" i="23"/>
  <c r="AE43" i="23" s="1"/>
  <c r="AF43" i="23" s="1"/>
  <c r="U42" i="23"/>
  <c r="X42" i="23" s="1"/>
  <c r="AA38" i="23"/>
  <c r="AB38" i="23" s="1"/>
  <c r="Y36" i="23"/>
  <c r="Z36" i="23" s="1"/>
  <c r="AA33" i="23"/>
  <c r="AB33" i="23" s="1"/>
  <c r="AA32" i="23"/>
  <c r="AB32" i="23" s="1"/>
  <c r="AD31" i="23"/>
  <c r="AC30" i="23"/>
  <c r="AC29" i="23"/>
  <c r="U27" i="23"/>
  <c r="X27" i="23" s="1"/>
  <c r="AA25" i="23"/>
  <c r="AB25" i="23" s="1"/>
  <c r="AC24" i="23"/>
  <c r="AE24" i="23" s="1"/>
  <c r="AF24" i="23" s="1"/>
  <c r="AD21" i="23"/>
  <c r="AD19" i="23"/>
  <c r="U19" i="23"/>
  <c r="X19" i="23" s="1"/>
  <c r="AD15" i="23"/>
  <c r="U15" i="23"/>
  <c r="X15" i="23" s="1"/>
  <c r="AA16" i="23"/>
  <c r="AB16" i="23" s="1"/>
  <c r="AC13" i="23"/>
  <c r="AC9" i="23"/>
  <c r="AE9" i="23" s="1"/>
  <c r="AF9" i="23" s="1"/>
  <c r="AA7" i="23"/>
  <c r="AB7" i="23" s="1"/>
  <c r="AA5" i="23"/>
  <c r="AB5" i="23" s="1"/>
  <c r="AC12" i="23"/>
  <c r="AD29" i="23"/>
  <c r="U17" i="23"/>
  <c r="X17" i="23" s="1"/>
  <c r="Y16" i="23"/>
  <c r="Z16" i="23" s="1"/>
  <c r="AA13" i="23"/>
  <c r="AB13" i="23" s="1"/>
  <c r="U11" i="23"/>
  <c r="X11" i="23" s="1"/>
  <c r="U10" i="23"/>
  <c r="X10" i="23" s="1"/>
  <c r="U8" i="23"/>
  <c r="X8" i="23" s="1"/>
  <c r="Y5" i="23"/>
  <c r="Z5" i="23" s="1"/>
  <c r="AC10" i="23"/>
  <c r="AD8" i="23"/>
  <c r="U6" i="23"/>
  <c r="X6" i="23" s="1"/>
  <c r="Y9" i="23"/>
  <c r="Z9" i="23" s="1"/>
  <c r="Y6" i="23"/>
  <c r="Z6" i="23" s="1"/>
  <c r="AC7" i="23"/>
  <c r="AD25" i="23"/>
  <c r="AA15" i="23"/>
  <c r="AB15" i="23" s="1"/>
  <c r="AD10" i="23"/>
  <c r="U7" i="23"/>
  <c r="X7" i="23" s="1"/>
  <c r="AC26" i="23"/>
  <c r="Y24" i="23"/>
  <c r="Z24" i="23" s="1"/>
  <c r="AC23" i="23"/>
  <c r="AE23" i="23" s="1"/>
  <c r="AF23" i="23" s="1"/>
  <c r="AC14" i="23"/>
  <c r="U13" i="23"/>
  <c r="X13" i="23" s="1"/>
  <c r="AD11" i="23"/>
  <c r="AA23" i="23"/>
  <c r="AB23" i="23" s="1"/>
  <c r="AC22" i="23"/>
  <c r="Y21" i="23"/>
  <c r="Z21" i="23" s="1"/>
  <c r="AA20" i="23"/>
  <c r="AB20" i="23" s="1"/>
  <c r="AC18" i="23"/>
  <c r="AD17" i="23"/>
  <c r="Y15" i="23"/>
  <c r="Z15" i="23" s="1"/>
  <c r="Y14" i="23"/>
  <c r="Z14" i="23" s="1"/>
  <c r="AA11" i="23"/>
  <c r="AB11" i="23" s="1"/>
  <c r="Y26" i="23"/>
  <c r="Z26" i="23" s="1"/>
  <c r="U25" i="23"/>
  <c r="X25" i="23" s="1"/>
  <c r="Y23" i="23"/>
  <c r="Z23" i="23" s="1"/>
  <c r="Y20" i="23"/>
  <c r="Z20" i="23" s="1"/>
  <c r="AC17" i="23"/>
  <c r="AE17" i="23" s="1"/>
  <c r="AF17" i="23" s="1"/>
  <c r="AA12" i="23"/>
  <c r="AB12" i="23" s="1"/>
  <c r="Y10" i="23"/>
  <c r="Z10" i="23" s="1"/>
  <c r="AA8" i="23"/>
  <c r="AB8" i="23" s="1"/>
  <c r="AD7" i="23"/>
  <c r="AD6" i="23"/>
  <c r="AC5" i="23"/>
  <c r="AA4" i="23"/>
  <c r="AB4" i="23" s="1"/>
  <c r="S2" i="23" a="1"/>
  <c r="Y28" i="23"/>
  <c r="Z28" i="23" s="1"/>
  <c r="Y27" i="23"/>
  <c r="Z27" i="23" s="1"/>
  <c r="U22" i="23"/>
  <c r="X22" i="23" s="1"/>
  <c r="U21" i="23"/>
  <c r="X21" i="23" s="1"/>
  <c r="Y19" i="23"/>
  <c r="Z19" i="23" s="1"/>
  <c r="AA17" i="23"/>
  <c r="AB17" i="23" s="1"/>
  <c r="AD13" i="23"/>
  <c r="Y12" i="23"/>
  <c r="Z12" i="23" s="1"/>
  <c r="Y11" i="23"/>
  <c r="Z11" i="23" s="1"/>
  <c r="AC6" i="23"/>
  <c r="AE6" i="23" s="1"/>
  <c r="AF6" i="23" s="1"/>
  <c r="BC94" i="23"/>
  <c r="BA94" i="23"/>
  <c r="AY94" i="23"/>
  <c r="BA60" i="23"/>
  <c r="AY60" i="23"/>
  <c r="BC60" i="23"/>
  <c r="BC32" i="23"/>
  <c r="BA32" i="23"/>
  <c r="AY32" i="23"/>
  <c r="BC66" i="23"/>
  <c r="BA66" i="23"/>
  <c r="AY66" i="23"/>
  <c r="BC90" i="23"/>
  <c r="BA90" i="23"/>
  <c r="AY90" i="23"/>
  <c r="BA78" i="23"/>
  <c r="BC78" i="23"/>
  <c r="AY78" i="23"/>
  <c r="AY70" i="23"/>
  <c r="BC70" i="23"/>
  <c r="BA70" i="23"/>
  <c r="BC20" i="23"/>
  <c r="BA20" i="23"/>
  <c r="AY20" i="23"/>
  <c r="BC40" i="23"/>
  <c r="BA40" i="23"/>
  <c r="AY40" i="23"/>
  <c r="AE69" i="23" l="1"/>
  <c r="AF69" i="23" s="1"/>
  <c r="AE75" i="23"/>
  <c r="AF75" i="23" s="1"/>
  <c r="AE95" i="23"/>
  <c r="AF95" i="23" s="1"/>
  <c r="AE29" i="23"/>
  <c r="AF29" i="23" s="1"/>
  <c r="AE38" i="23"/>
  <c r="AF38" i="23" s="1"/>
  <c r="E47" i="6" a="1"/>
  <c r="E47" i="6" s="1"/>
  <c r="F45" i="6"/>
  <c r="F46" i="6" s="1" a="1"/>
  <c r="F46" i="6" s="1"/>
  <c r="AK60" i="6"/>
  <c r="I44" i="6"/>
  <c r="I19" i="24"/>
  <c r="AE12" i="23"/>
  <c r="AF12" i="23" s="1"/>
  <c r="AE62" i="23"/>
  <c r="AF62" i="23" s="1"/>
  <c r="AE76" i="23"/>
  <c r="AF76" i="23" s="1"/>
  <c r="AE96" i="23"/>
  <c r="AF96" i="23" s="1"/>
  <c r="AE41" i="23"/>
  <c r="AF41" i="23" s="1"/>
  <c r="AE30" i="23"/>
  <c r="AF30" i="23" s="1"/>
  <c r="AE51" i="23"/>
  <c r="AF51" i="23" s="1"/>
  <c r="AE28" i="23"/>
  <c r="AF28" i="23" s="1"/>
  <c r="AE11" i="23"/>
  <c r="AF11" i="23" s="1"/>
  <c r="AE26" i="23"/>
  <c r="AF26" i="23" s="1"/>
  <c r="AE68" i="23"/>
  <c r="AF68" i="23" s="1"/>
  <c r="AE37" i="23"/>
  <c r="AF37" i="23" s="1"/>
  <c r="AE74" i="23"/>
  <c r="AF74" i="23" s="1"/>
  <c r="AE16" i="23"/>
  <c r="AF16" i="23" s="1"/>
  <c r="AE44" i="23"/>
  <c r="AF44" i="23" s="1"/>
  <c r="AE36" i="23"/>
  <c r="AF36" i="23" s="1"/>
  <c r="AE42" i="23"/>
  <c r="AF42" i="23" s="1"/>
  <c r="AE72" i="23"/>
  <c r="AF72" i="23" s="1"/>
  <c r="AE14" i="23"/>
  <c r="AF14" i="23" s="1"/>
  <c r="AE7" i="23"/>
  <c r="AF7" i="23" s="1"/>
  <c r="AE8" i="23"/>
  <c r="AF8" i="23" s="1"/>
  <c r="AE90" i="23"/>
  <c r="AF90" i="23" s="1"/>
  <c r="AE53" i="23"/>
  <c r="AF53" i="23" s="1"/>
  <c r="AE5" i="23"/>
  <c r="AF5" i="23" s="1"/>
  <c r="AE13" i="23"/>
  <c r="AF13" i="23" s="1"/>
  <c r="AE49" i="23"/>
  <c r="AF49" i="23" s="1"/>
  <c r="AE82" i="23"/>
  <c r="AF82" i="23" s="1"/>
  <c r="AE46" i="23"/>
  <c r="AF46" i="23" s="1"/>
  <c r="AE84" i="23"/>
  <c r="AF84" i="23" s="1"/>
  <c r="AC3" i="23"/>
  <c r="AA3" i="23"/>
  <c r="AB3" i="23" s="1"/>
  <c r="U3" i="23"/>
  <c r="X3" i="23" s="1"/>
  <c r="S2" i="23"/>
  <c r="Y3" i="23"/>
  <c r="V3" i="23"/>
  <c r="AD3" i="23"/>
  <c r="AE54" i="23"/>
  <c r="AF54" i="23" s="1"/>
  <c r="AE57" i="23"/>
  <c r="AF57" i="23" s="1"/>
  <c r="AE27" i="23"/>
  <c r="AF27" i="23" s="1"/>
  <c r="AE31" i="23"/>
  <c r="AF31" i="23" s="1"/>
  <c r="AE33" i="23"/>
  <c r="AF33" i="23" s="1"/>
  <c r="AE58" i="23"/>
  <c r="AF58" i="23" s="1"/>
  <c r="AE63" i="23"/>
  <c r="AF63" i="23" s="1"/>
  <c r="AE67" i="23"/>
  <c r="AF67" i="23" s="1"/>
  <c r="AE77" i="23"/>
  <c r="AF77" i="23" s="1"/>
  <c r="AE19" i="23"/>
  <c r="AF19" i="23" s="1"/>
  <c r="AE25" i="23"/>
  <c r="AF25" i="23" s="1"/>
  <c r="AE21" i="23"/>
  <c r="AF21" i="23" s="1"/>
  <c r="AE18" i="23"/>
  <c r="AF18" i="23" s="1"/>
  <c r="AE22" i="23"/>
  <c r="AF22" i="23" s="1"/>
  <c r="AE47" i="23"/>
  <c r="AF47" i="23" s="1"/>
  <c r="AE4" i="23"/>
  <c r="AF4" i="23" s="1"/>
  <c r="AE39" i="23"/>
  <c r="AF39" i="23" s="1"/>
  <c r="AE15" i="23"/>
  <c r="AF15" i="23" s="1"/>
  <c r="AE45" i="23"/>
  <c r="AF45" i="23" s="1"/>
  <c r="AE52" i="23"/>
  <c r="AF52" i="23" s="1"/>
  <c r="AE59" i="23"/>
  <c r="AF59" i="23" s="1"/>
  <c r="AE78" i="23"/>
  <c r="AF78" i="23" s="1"/>
  <c r="AE93" i="23"/>
  <c r="AF93" i="23" s="1"/>
  <c r="AE92" i="23"/>
  <c r="AF92" i="23" s="1"/>
  <c r="AE48" i="23"/>
  <c r="AF48" i="23" s="1"/>
  <c r="AE10" i="23"/>
  <c r="AF10" i="23" s="1"/>
  <c r="AE91" i="23"/>
  <c r="AF91" i="23" s="1"/>
  <c r="AE32" i="23"/>
  <c r="AF32" i="23" s="1"/>
  <c r="AE50" i="23"/>
  <c r="AF50" i="23" s="1"/>
  <c r="AE65" i="23"/>
  <c r="AF65" i="23" s="1"/>
  <c r="AE61" i="23"/>
  <c r="AF61" i="23" s="1"/>
  <c r="AE79" i="23"/>
  <c r="AF79" i="23" s="1"/>
  <c r="F47" i="6" l="1" a="1"/>
  <c r="F47" i="6" s="1"/>
  <c r="F48" i="6" s="1" a="1"/>
  <c r="F48" i="6" s="1"/>
  <c r="F49" i="6" s="1"/>
  <c r="G45" i="6"/>
  <c r="G46" i="6" s="1" a="1"/>
  <c r="G46" i="6" s="1"/>
  <c r="E48" i="6" a="1"/>
  <c r="E48" i="6" s="1"/>
  <c r="E49" i="6" s="1"/>
  <c r="AL60" i="6"/>
  <c r="J44" i="6"/>
  <c r="AE3" i="23"/>
  <c r="AF3" i="23" s="1"/>
  <c r="N3" i="23" s="1"/>
  <c r="K3" i="23"/>
  <c r="C3" i="23"/>
  <c r="R3" i="23"/>
  <c r="J3" i="23"/>
  <c r="B3" i="23"/>
  <c r="F3" i="23"/>
  <c r="O3" i="23"/>
  <c r="A3" i="23"/>
  <c r="Z3" i="23"/>
  <c r="H3" i="23" s="1"/>
  <c r="L3" i="23"/>
  <c r="G3" i="23"/>
  <c r="I3" i="23"/>
  <c r="Q3" i="23"/>
  <c r="E3" i="23"/>
  <c r="P3" i="23"/>
  <c r="D3" i="23"/>
  <c r="AA2" i="23"/>
  <c r="AB2" i="23" s="1"/>
  <c r="AD2" i="23"/>
  <c r="U2" i="23"/>
  <c r="AC2" i="23"/>
  <c r="AE2" i="23" s="1"/>
  <c r="V2" i="23"/>
  <c r="Y2" i="23"/>
  <c r="M3" i="23" l="1"/>
  <c r="G47" i="6" a="1"/>
  <c r="G47" i="6" s="1"/>
  <c r="G48" i="6" s="1" a="1"/>
  <c r="G48" i="6" s="1"/>
  <c r="G49" i="6" s="1"/>
  <c r="H45" i="6"/>
  <c r="H46" i="6" s="1" a="1"/>
  <c r="H46" i="6" s="1"/>
  <c r="AM60" i="6"/>
  <c r="K44" i="6"/>
  <c r="C43" i="21"/>
  <c r="C45" i="21"/>
  <c r="C42" i="21"/>
  <c r="C44" i="21"/>
  <c r="C41" i="21"/>
  <c r="AF2" i="23"/>
  <c r="X2" i="23"/>
  <c r="R2" i="23"/>
  <c r="J2" i="23"/>
  <c r="B2" i="23"/>
  <c r="Z2" i="23"/>
  <c r="Q2" i="23"/>
  <c r="I2" i="23"/>
  <c r="A2" i="23"/>
  <c r="M2" i="23"/>
  <c r="E2" i="23"/>
  <c r="O2" i="23"/>
  <c r="C2" i="23"/>
  <c r="G2" i="23"/>
  <c r="N2" i="23"/>
  <c r="E2" i="24" s="1"/>
  <c r="L2" i="23"/>
  <c r="H2" i="23"/>
  <c r="C35" i="21" s="1"/>
  <c r="F2" i="23"/>
  <c r="K2" i="23"/>
  <c r="P2" i="23"/>
  <c r="D2" i="23"/>
  <c r="H47" i="6" l="1" a="1"/>
  <c r="H47" i="6" s="1"/>
  <c r="H48" i="6" s="1" a="1"/>
  <c r="H48" i="6" s="1"/>
  <c r="H49" i="6" s="1"/>
  <c r="I45" i="6"/>
  <c r="I46" i="6" s="1" a="1"/>
  <c r="I46" i="6" s="1"/>
  <c r="AN60" i="6"/>
  <c r="L44" i="6"/>
  <c r="C37" i="21"/>
  <c r="I72" i="21"/>
  <c r="I71" i="21"/>
  <c r="I70" i="21"/>
  <c r="I88" i="21"/>
  <c r="C34" i="21"/>
  <c r="I89" i="21" s="1"/>
  <c r="I2" i="24"/>
  <c r="AS12" i="2"/>
  <c r="C92" i="17"/>
  <c r="C91" i="17"/>
  <c r="C83" i="17"/>
  <c r="C75" i="17"/>
  <c r="C66" i="17"/>
  <c r="I47" i="6" l="1" a="1"/>
  <c r="I47" i="6" s="1"/>
  <c r="I48" i="6" s="1" a="1"/>
  <c r="I48" i="6" s="1"/>
  <c r="I49" i="6" s="1"/>
  <c r="J45" i="6"/>
  <c r="J46" i="6" s="1" a="1"/>
  <c r="J46" i="6" s="1"/>
  <c r="AO60" i="6"/>
  <c r="M44" i="6"/>
  <c r="B7" i="5"/>
  <c r="B6" i="5"/>
  <c r="B5" i="5"/>
  <c r="C59" i="5"/>
  <c r="B66" i="4"/>
  <c r="B54" i="4"/>
  <c r="B38" i="4"/>
  <c r="B26" i="4"/>
  <c r="B22" i="4"/>
  <c r="C22" i="4" s="1"/>
  <c r="U58" i="18"/>
  <c r="U59" i="18"/>
  <c r="U60" i="18"/>
  <c r="U61" i="18"/>
  <c r="U62" i="18"/>
  <c r="U63" i="18"/>
  <c r="U64" i="18"/>
  <c r="U65" i="18"/>
  <c r="S58" i="18"/>
  <c r="S59" i="18"/>
  <c r="S60" i="18"/>
  <c r="S61" i="18"/>
  <c r="S62" i="18"/>
  <c r="S63" i="18"/>
  <c r="S64" i="18"/>
  <c r="S65" i="18"/>
  <c r="D23" i="3"/>
  <c r="F20" i="3"/>
  <c r="AM6" i="9"/>
  <c r="AN21" i="9"/>
  <c r="AN20" i="9"/>
  <c r="AN19" i="9"/>
  <c r="AN18" i="9"/>
  <c r="AN17" i="9"/>
  <c r="AN16" i="9"/>
  <c r="AN15" i="9"/>
  <c r="AN14" i="9"/>
  <c r="AN12" i="9"/>
  <c r="AN11" i="9"/>
  <c r="AN10" i="9"/>
  <c r="AN9" i="9"/>
  <c r="AN8" i="9"/>
  <c r="AN7" i="9"/>
  <c r="AN6" i="9"/>
  <c r="U6" i="9"/>
  <c r="AR93" i="2"/>
  <c r="AN93" i="2"/>
  <c r="AO93" i="2"/>
  <c r="AP93" i="2"/>
  <c r="AQ93" i="2"/>
  <c r="H93"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16" i="2"/>
  <c r="AS17" i="2"/>
  <c r="AS18" i="2"/>
  <c r="AS19" i="2"/>
  <c r="AS20" i="2"/>
  <c r="AS21" i="2"/>
  <c r="AS22" i="2"/>
  <c r="AS23" i="2"/>
  <c r="AS24" i="2"/>
  <c r="AS25" i="2"/>
  <c r="AS26" i="2"/>
  <c r="AS27" i="2"/>
  <c r="AS28" i="2"/>
  <c r="AS29" i="2"/>
  <c r="AS30" i="2"/>
  <c r="AS31" i="2"/>
  <c r="AS32" i="2"/>
  <c r="AS11" i="2"/>
  <c r="AS10" i="2"/>
  <c r="AS9" i="2"/>
  <c r="AS8" i="2"/>
  <c r="AS7" i="2"/>
  <c r="AS6" i="2"/>
  <c r="AS5" i="2"/>
  <c r="D74" i="1"/>
  <c r="D73" i="1"/>
  <c r="J47" i="6" l="1" a="1"/>
  <c r="J47" i="6" s="1"/>
  <c r="J48" i="6" s="1" a="1"/>
  <c r="J48" i="6" s="1"/>
  <c r="J49" i="6" s="1"/>
  <c r="K45" i="6"/>
  <c r="K46" i="6" s="1" a="1"/>
  <c r="K46" i="6" s="1"/>
  <c r="N44" i="6"/>
  <c r="K47" i="6" l="1" a="1"/>
  <c r="K47" i="6" s="1"/>
  <c r="K48" i="6" s="1" a="1"/>
  <c r="K48" i="6" s="1"/>
  <c r="K49" i="6" s="1"/>
  <c r="L45" i="6"/>
  <c r="L46" i="6" s="1" a="1"/>
  <c r="L46" i="6" s="1"/>
  <c r="O44" i="6"/>
  <c r="D28" i="3"/>
  <c r="L5" i="3"/>
  <c r="L6" i="3"/>
  <c r="L7" i="3"/>
  <c r="L8" i="3"/>
  <c r="L9" i="3"/>
  <c r="L10" i="3"/>
  <c r="L11" i="3"/>
  <c r="L12" i="3"/>
  <c r="L13" i="3"/>
  <c r="L4" i="3"/>
  <c r="C20" i="3"/>
  <c r="D20" i="3"/>
  <c r="E20" i="3"/>
  <c r="D6" i="3"/>
  <c r="AN13" i="9"/>
  <c r="AN22" i="9"/>
  <c r="AN23" i="9"/>
  <c r="AN24" i="9"/>
  <c r="AN25" i="9"/>
  <c r="AN26" i="9"/>
  <c r="AN27" i="9"/>
  <c r="AN28" i="9"/>
  <c r="AN29" i="9"/>
  <c r="AN30" i="9"/>
  <c r="AN31" i="9"/>
  <c r="AN32" i="9"/>
  <c r="AN33" i="9"/>
  <c r="AN34" i="9"/>
  <c r="AN35" i="9"/>
  <c r="AN36" i="9"/>
  <c r="AN37" i="9"/>
  <c r="AN38" i="9"/>
  <c r="AN39" i="9"/>
  <c r="AN40" i="9"/>
  <c r="AN41" i="9"/>
  <c r="AN42" i="9"/>
  <c r="AN43" i="9"/>
  <c r="AN44" i="9"/>
  <c r="AN45" i="9"/>
  <c r="AN46" i="9"/>
  <c r="AN47" i="9"/>
  <c r="AN48" i="9"/>
  <c r="AN49" i="9"/>
  <c r="AN50" i="9"/>
  <c r="AN51" i="9"/>
  <c r="AN52" i="9"/>
  <c r="AN53" i="9"/>
  <c r="AN54" i="9"/>
  <c r="AN55" i="9"/>
  <c r="AN56" i="9"/>
  <c r="AN57" i="9"/>
  <c r="AN58" i="9"/>
  <c r="AN59" i="9"/>
  <c r="AN60" i="9"/>
  <c r="AN61" i="9"/>
  <c r="AN62" i="9"/>
  <c r="AN63" i="9"/>
  <c r="AN64" i="9"/>
  <c r="AN65" i="9"/>
  <c r="AN66" i="9"/>
  <c r="AN67" i="9"/>
  <c r="AN68" i="9"/>
  <c r="AN69" i="9"/>
  <c r="AN70" i="9"/>
  <c r="AN71" i="9"/>
  <c r="AN72" i="9"/>
  <c r="AN73" i="9"/>
  <c r="AN74" i="9"/>
  <c r="AN75" i="9"/>
  <c r="AN76" i="9"/>
  <c r="AN77" i="9"/>
  <c r="AN78" i="9"/>
  <c r="AN79" i="9"/>
  <c r="AN80" i="9"/>
  <c r="AN81" i="9"/>
  <c r="AN82" i="9"/>
  <c r="AN83" i="9"/>
  <c r="AN84" i="9"/>
  <c r="AN85" i="9"/>
  <c r="AN86" i="9"/>
  <c r="AN87" i="9"/>
  <c r="AN88" i="9"/>
  <c r="AN89" i="9"/>
  <c r="AN90" i="9"/>
  <c r="AN91" i="9"/>
  <c r="AN92" i="9"/>
  <c r="AN93" i="9"/>
  <c r="AN94" i="9"/>
  <c r="AN95" i="9"/>
  <c r="AN96" i="9"/>
  <c r="AN97" i="9"/>
  <c r="AN98" i="9"/>
  <c r="AN99" i="9"/>
  <c r="AI101" i="9"/>
  <c r="O4" i="2"/>
  <c r="N4" i="2"/>
  <c r="M4" i="2"/>
  <c r="K93" i="2"/>
  <c r="K94" i="2" s="1"/>
  <c r="M93" i="2"/>
  <c r="N93" i="2"/>
  <c r="O93" i="2"/>
  <c r="J93" i="2"/>
  <c r="P93" i="2"/>
  <c r="Q93" i="2"/>
  <c r="R93" i="2"/>
  <c r="S93" i="2"/>
  <c r="T93" i="2"/>
  <c r="U93" i="2"/>
  <c r="V93" i="2"/>
  <c r="W93" i="2"/>
  <c r="X93" i="2"/>
  <c r="Y93" i="2"/>
  <c r="Z93" i="2"/>
  <c r="AA93" i="2"/>
  <c r="AB93" i="2"/>
  <c r="AC93" i="2"/>
  <c r="AD93" i="2"/>
  <c r="AE93" i="2"/>
  <c r="AF93" i="2"/>
  <c r="AG93" i="2"/>
  <c r="AH93" i="2"/>
  <c r="AI93" i="2"/>
  <c r="AJ93" i="2"/>
  <c r="AK93" i="2"/>
  <c r="AL93" i="2"/>
  <c r="AM93" i="2"/>
  <c r="AF4" i="2"/>
  <c r="AE4" i="2"/>
  <c r="AD4" i="2"/>
  <c r="AD94" i="2" s="1"/>
  <c r="AC4" i="2"/>
  <c r="AB4" i="2"/>
  <c r="AA4" i="2"/>
  <c r="Z4" i="2"/>
  <c r="AG3" i="2"/>
  <c r="AF3" i="2"/>
  <c r="AE3" i="2"/>
  <c r="AD3" i="2"/>
  <c r="AC3" i="2"/>
  <c r="AB3" i="2"/>
  <c r="AA3" i="2"/>
  <c r="Z3" i="2"/>
  <c r="O3" i="2"/>
  <c r="N3" i="2"/>
  <c r="M3" i="2"/>
  <c r="B11" i="1"/>
  <c r="AD93" i="18"/>
  <c r="AC93" i="18"/>
  <c r="AB93" i="18"/>
  <c r="C28" i="19"/>
  <c r="C71" i="1"/>
  <c r="AB94" i="2" l="1"/>
  <c r="L47" i="6" a="1"/>
  <c r="L47" i="6" s="1"/>
  <c r="L48" i="6" s="1" a="1"/>
  <c r="L48" i="6" s="1"/>
  <c r="L49" i="6" s="1"/>
  <c r="M45" i="6"/>
  <c r="M46" i="6" s="1" a="1"/>
  <c r="M46" i="6" s="1"/>
  <c r="P44" i="6"/>
  <c r="N94" i="2"/>
  <c r="M94" i="2"/>
  <c r="AC94" i="2"/>
  <c r="AA94" i="2"/>
  <c r="AF94" i="2"/>
  <c r="O94" i="2"/>
  <c r="AE94" i="2"/>
  <c r="Z94" i="2"/>
  <c r="C30" i="19"/>
  <c r="M47" i="6" l="1" a="1"/>
  <c r="M47" i="6" s="1"/>
  <c r="M48" i="6" s="1" a="1"/>
  <c r="M48" i="6" s="1"/>
  <c r="M49" i="6" s="1"/>
  <c r="N45" i="6"/>
  <c r="N46" i="6" s="1" a="1"/>
  <c r="N46" i="6" s="1"/>
  <c r="Q44" i="6"/>
  <c r="AH93" i="7"/>
  <c r="D97" i="7"/>
  <c r="D98" i="7"/>
  <c r="AH98" i="7" s="1"/>
  <c r="D99" i="7"/>
  <c r="AH99" i="7" s="1"/>
  <c r="D100" i="7"/>
  <c r="AH100" i="7" s="1"/>
  <c r="D101" i="7"/>
  <c r="AH101" i="7" s="1"/>
  <c r="D102" i="7"/>
  <c r="AH102" i="7" s="1"/>
  <c r="D103" i="7"/>
  <c r="AH103" i="7" s="1"/>
  <c r="D104" i="7"/>
  <c r="AH104" i="7" s="1"/>
  <c r="D105" i="7"/>
  <c r="AH105" i="7" s="1"/>
  <c r="D106" i="7"/>
  <c r="AH106" i="7" s="1"/>
  <c r="D107" i="7"/>
  <c r="AH107" i="7" s="1"/>
  <c r="D108" i="7"/>
  <c r="AH108" i="7" s="1"/>
  <c r="D109" i="7"/>
  <c r="AH109" i="7" s="1"/>
  <c r="D110" i="7"/>
  <c r="AH110" i="7" s="1"/>
  <c r="D111" i="7"/>
  <c r="AH111" i="7" s="1"/>
  <c r="D112" i="7"/>
  <c r="AH112" i="7" s="1"/>
  <c r="D113" i="7"/>
  <c r="AH113" i="7" s="1"/>
  <c r="D114" i="7"/>
  <c r="AH114" i="7" s="1"/>
  <c r="D115" i="7"/>
  <c r="AH115" i="7" s="1"/>
  <c r="D116" i="7"/>
  <c r="AH116" i="7" s="1"/>
  <c r="D117" i="7"/>
  <c r="AH117" i="7" s="1"/>
  <c r="D118" i="7"/>
  <c r="AH118" i="7" s="1"/>
  <c r="D119" i="7"/>
  <c r="AH119" i="7" s="1"/>
  <c r="D120" i="7"/>
  <c r="AH120" i="7" s="1"/>
  <c r="D121" i="7"/>
  <c r="AH121" i="7" s="1"/>
  <c r="D122" i="7"/>
  <c r="D123" i="7"/>
  <c r="AH123" i="7" s="1"/>
  <c r="D124" i="7"/>
  <c r="AH124" i="7" s="1"/>
  <c r="D125" i="7"/>
  <c r="AH125" i="7" s="1"/>
  <c r="D126" i="7"/>
  <c r="AH126" i="7" s="1"/>
  <c r="D127" i="7"/>
  <c r="AH127" i="7" s="1"/>
  <c r="D128" i="7"/>
  <c r="AH128" i="7" s="1"/>
  <c r="B125" i="7"/>
  <c r="B126" i="7"/>
  <c r="B127" i="7"/>
  <c r="B128"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39" i="6"/>
  <c r="B146" i="6" s="1"/>
  <c r="B412" i="6"/>
  <c r="B419" i="6" s="1"/>
  <c r="B411" i="6"/>
  <c r="B410" i="6"/>
  <c r="A408" i="6"/>
  <c r="C416" i="6"/>
  <c r="A393" i="6"/>
  <c r="B154" i="6"/>
  <c r="B153" i="6"/>
  <c r="B156" i="6"/>
  <c r="B138" i="6"/>
  <c r="B137" i="6"/>
  <c r="B136" i="6"/>
  <c r="A134" i="6"/>
  <c r="C143" i="6"/>
  <c r="D143" i="6" s="1"/>
  <c r="E143" i="6" s="1"/>
  <c r="F143" i="6" s="1"/>
  <c r="G143" i="6" s="1"/>
  <c r="H143" i="6" s="1"/>
  <c r="I143" i="6" s="1"/>
  <c r="J143" i="6" s="1"/>
  <c r="K143" i="6" s="1"/>
  <c r="L143" i="6" s="1"/>
  <c r="M143" i="6" s="1"/>
  <c r="N143" i="6" s="1"/>
  <c r="O143" i="6" s="1"/>
  <c r="P143" i="6" s="1"/>
  <c r="Q143" i="6" s="1"/>
  <c r="R143" i="6" s="1"/>
  <c r="S143" i="6" s="1"/>
  <c r="T143" i="6" s="1"/>
  <c r="U143" i="6" s="1"/>
  <c r="V143" i="6" s="1"/>
  <c r="W143" i="6" s="1"/>
  <c r="X143" i="6" s="1"/>
  <c r="Y143" i="6" s="1"/>
  <c r="Z143" i="6" s="1"/>
  <c r="AA143" i="6" s="1"/>
  <c r="AB143" i="6" s="1"/>
  <c r="AC143" i="6" s="1"/>
  <c r="AD143" i="6" s="1"/>
  <c r="AE143" i="6" s="1"/>
  <c r="B397" i="6"/>
  <c r="B405" i="6" s="1"/>
  <c r="B396" i="6"/>
  <c r="B395" i="6"/>
  <c r="B402" i="6" s="1"/>
  <c r="B223" i="6"/>
  <c r="C401" i="6"/>
  <c r="D401" i="6" s="1"/>
  <c r="E401" i="6" s="1"/>
  <c r="F401" i="6" s="1"/>
  <c r="G401" i="6" s="1"/>
  <c r="B382" i="6"/>
  <c r="B381" i="6"/>
  <c r="B380" i="6"/>
  <c r="B387" i="6" s="1"/>
  <c r="A378" i="6"/>
  <c r="C386" i="6"/>
  <c r="D386" i="6" s="1"/>
  <c r="E386" i="6" s="1"/>
  <c r="F386" i="6" s="1"/>
  <c r="G386" i="6" s="1"/>
  <c r="H386" i="6" s="1"/>
  <c r="I386" i="6" s="1"/>
  <c r="J386" i="6" s="1"/>
  <c r="K386" i="6" s="1"/>
  <c r="B367" i="6"/>
  <c r="B366" i="6"/>
  <c r="B365" i="6"/>
  <c r="B372" i="6" s="1"/>
  <c r="A363" i="6"/>
  <c r="C371" i="6"/>
  <c r="D371" i="6" s="1"/>
  <c r="E371" i="6" s="1"/>
  <c r="F371" i="6" s="1"/>
  <c r="G371" i="6" s="1"/>
  <c r="H371" i="6" s="1"/>
  <c r="B352" i="6"/>
  <c r="B351" i="6"/>
  <c r="B350" i="6"/>
  <c r="B357" i="6" s="1"/>
  <c r="A348" i="6"/>
  <c r="C356" i="6"/>
  <c r="D356" i="6" s="1"/>
  <c r="E356" i="6" s="1"/>
  <c r="F356" i="6" s="1"/>
  <c r="G356" i="6" s="1"/>
  <c r="H356" i="6" s="1"/>
  <c r="I356" i="6" s="1"/>
  <c r="J356" i="6" s="1"/>
  <c r="K356" i="6" s="1"/>
  <c r="L356" i="6" s="1"/>
  <c r="M356" i="6" s="1"/>
  <c r="N356" i="6" s="1"/>
  <c r="B337" i="6"/>
  <c r="B336" i="6"/>
  <c r="B335" i="6"/>
  <c r="B342" i="6" s="1"/>
  <c r="A333" i="6"/>
  <c r="C341" i="6"/>
  <c r="D341" i="6" s="1"/>
  <c r="B322" i="6"/>
  <c r="B307" i="6"/>
  <c r="B306" i="6"/>
  <c r="B305" i="6"/>
  <c r="B312" i="6" s="1"/>
  <c r="B321" i="6"/>
  <c r="B320" i="6"/>
  <c r="B327" i="6" s="1"/>
  <c r="A318" i="6"/>
  <c r="A303" i="6"/>
  <c r="C311" i="6"/>
  <c r="D311" i="6" s="1"/>
  <c r="E311" i="6" s="1"/>
  <c r="F311" i="6" s="1"/>
  <c r="G311" i="6" s="1"/>
  <c r="C326" i="6"/>
  <c r="C296" i="6"/>
  <c r="B259" i="6"/>
  <c r="B275" i="6"/>
  <c r="B282" i="6" s="1"/>
  <c r="N47" i="6" l="1" a="1"/>
  <c r="N47" i="6" s="1"/>
  <c r="N48" i="6" s="1" a="1"/>
  <c r="N48" i="6" s="1"/>
  <c r="N49" i="6" s="1"/>
  <c r="O45" i="6"/>
  <c r="O46" i="6" s="1" a="1"/>
  <c r="O46" i="6" s="1"/>
  <c r="AH97" i="7"/>
  <c r="D129" i="7"/>
  <c r="R44" i="6"/>
  <c r="B140" i="6"/>
  <c r="B141" i="6" s="1"/>
  <c r="AH122" i="7"/>
  <c r="B417" i="6"/>
  <c r="B413" i="6"/>
  <c r="B414" i="6" s="1"/>
  <c r="B338" i="6"/>
  <c r="B339" i="6" s="1"/>
  <c r="B144" i="6"/>
  <c r="B147" i="6" s="1"/>
  <c r="B148" i="6" s="1"/>
  <c r="B420" i="6"/>
  <c r="B368" i="6"/>
  <c r="B369" i="6" s="1"/>
  <c r="B157" i="6"/>
  <c r="B158" i="6" s="1"/>
  <c r="C420" i="6"/>
  <c r="B398" i="6"/>
  <c r="B399" i="6" s="1"/>
  <c r="B353" i="6"/>
  <c r="B354" i="6" s="1"/>
  <c r="D416" i="6"/>
  <c r="D419" i="6" s="1"/>
  <c r="C419" i="6"/>
  <c r="B383" i="6"/>
  <c r="B384" i="6" s="1"/>
  <c r="B308" i="6"/>
  <c r="B309" i="6" s="1"/>
  <c r="B323" i="6"/>
  <c r="B324" i="6" s="1"/>
  <c r="B404" i="6"/>
  <c r="B403" i="6" s="1"/>
  <c r="C404" i="6"/>
  <c r="B359" i="6"/>
  <c r="B358" i="6" s="1"/>
  <c r="B360" i="6"/>
  <c r="C390" i="6"/>
  <c r="H401" i="6"/>
  <c r="I401" i="6" s="1"/>
  <c r="J401" i="6" s="1"/>
  <c r="K401" i="6" s="1"/>
  <c r="L401" i="6" s="1"/>
  <c r="M401" i="6" s="1"/>
  <c r="G404" i="6"/>
  <c r="B389" i="6"/>
  <c r="G405" i="6"/>
  <c r="B390" i="6"/>
  <c r="E405" i="6"/>
  <c r="F405" i="6"/>
  <c r="D404" i="6"/>
  <c r="D405" i="6"/>
  <c r="E404" i="6"/>
  <c r="C405" i="6"/>
  <c r="F404" i="6"/>
  <c r="L386" i="6"/>
  <c r="L389" i="6" s="1"/>
  <c r="K390" i="6"/>
  <c r="E389" i="6"/>
  <c r="F389" i="6"/>
  <c r="G389" i="6"/>
  <c r="H389" i="6"/>
  <c r="I389" i="6"/>
  <c r="J389" i="6"/>
  <c r="D390" i="6"/>
  <c r="J390" i="6"/>
  <c r="D389" i="6"/>
  <c r="I390" i="6"/>
  <c r="C389" i="6"/>
  <c r="H390" i="6"/>
  <c r="G390" i="6"/>
  <c r="F390" i="6"/>
  <c r="E390" i="6"/>
  <c r="K389" i="6"/>
  <c r="E375" i="6"/>
  <c r="C374" i="6"/>
  <c r="B374" i="6"/>
  <c r="B375" i="6"/>
  <c r="D374" i="6"/>
  <c r="I371" i="6"/>
  <c r="I375" i="6" s="1"/>
  <c r="H374" i="6"/>
  <c r="G374" i="6"/>
  <c r="F374" i="6"/>
  <c r="H375" i="6"/>
  <c r="G375" i="6"/>
  <c r="F375" i="6"/>
  <c r="C375" i="6"/>
  <c r="D375" i="6"/>
  <c r="E374" i="6"/>
  <c r="C360" i="6"/>
  <c r="O356" i="6"/>
  <c r="O359" i="6" s="1"/>
  <c r="N360" i="6"/>
  <c r="M360" i="6"/>
  <c r="G359" i="6"/>
  <c r="E359" i="6"/>
  <c r="J360" i="6"/>
  <c r="D359" i="6"/>
  <c r="G360" i="6"/>
  <c r="L360" i="6"/>
  <c r="F359" i="6"/>
  <c r="K360" i="6"/>
  <c r="I360" i="6"/>
  <c r="C359" i="6"/>
  <c r="H360" i="6"/>
  <c r="N359" i="6"/>
  <c r="M359" i="6"/>
  <c r="F360" i="6"/>
  <c r="L359" i="6"/>
  <c r="E360" i="6"/>
  <c r="K359" i="6"/>
  <c r="D360" i="6"/>
  <c r="H359" i="6"/>
  <c r="I359" i="6"/>
  <c r="J359" i="6"/>
  <c r="C345" i="6"/>
  <c r="B345" i="6"/>
  <c r="B344" i="6"/>
  <c r="D315" i="6"/>
  <c r="D345" i="6"/>
  <c r="E341" i="6"/>
  <c r="F341" i="6" s="1"/>
  <c r="G341" i="6" s="1"/>
  <c r="H341" i="6" s="1"/>
  <c r="D344" i="6"/>
  <c r="C344" i="6"/>
  <c r="C314" i="6"/>
  <c r="D314" i="6"/>
  <c r="H311" i="6"/>
  <c r="I311" i="6" s="1"/>
  <c r="J311" i="6" s="1"/>
  <c r="K311" i="6" s="1"/>
  <c r="L311" i="6" s="1"/>
  <c r="M311" i="6" s="1"/>
  <c r="N311" i="6" s="1"/>
  <c r="O311" i="6" s="1"/>
  <c r="P311" i="6" s="1"/>
  <c r="P314" i="6" s="1"/>
  <c r="G314" i="6"/>
  <c r="B315" i="6"/>
  <c r="B314" i="6"/>
  <c r="G315" i="6"/>
  <c r="F315" i="6"/>
  <c r="E315" i="6"/>
  <c r="C315" i="6"/>
  <c r="E314" i="6"/>
  <c r="F314" i="6"/>
  <c r="D326" i="6"/>
  <c r="D296" i="6"/>
  <c r="O47" i="6" l="1" a="1"/>
  <c r="O47" i="6" s="1"/>
  <c r="O48" i="6" s="1" a="1"/>
  <c r="O48" i="6" s="1"/>
  <c r="O49" i="6" s="1"/>
  <c r="P45" i="6"/>
  <c r="P46" i="6" s="1" a="1"/>
  <c r="P46" i="6" s="1"/>
  <c r="J315" i="6"/>
  <c r="S44" i="6"/>
  <c r="B145" i="6"/>
  <c r="M361" i="6"/>
  <c r="C421" i="6"/>
  <c r="D420" i="6"/>
  <c r="D421" i="6" s="1"/>
  <c r="E416" i="6"/>
  <c r="B418" i="6"/>
  <c r="C417" i="6" s="1"/>
  <c r="C418" i="6" s="1"/>
  <c r="D417" i="6" s="1"/>
  <c r="D418" i="6" s="1"/>
  <c r="E417" i="6" s="1"/>
  <c r="B421" i="6"/>
  <c r="C406" i="6"/>
  <c r="K405" i="6"/>
  <c r="D406" i="6"/>
  <c r="F406" i="6"/>
  <c r="G406" i="6"/>
  <c r="E406" i="6"/>
  <c r="I404" i="6"/>
  <c r="K404" i="6"/>
  <c r="M405" i="6"/>
  <c r="N401" i="6"/>
  <c r="L405" i="6"/>
  <c r="I405" i="6"/>
  <c r="M404" i="6"/>
  <c r="L404" i="6"/>
  <c r="H404" i="6"/>
  <c r="B388" i="6"/>
  <c r="C387" i="6" s="1"/>
  <c r="C388" i="6" s="1"/>
  <c r="D387" i="6" s="1"/>
  <c r="D388" i="6" s="1"/>
  <c r="E387" i="6" s="1"/>
  <c r="E388" i="6" s="1"/>
  <c r="F387" i="6" s="1"/>
  <c r="F388" i="6" s="1"/>
  <c r="G387" i="6" s="1"/>
  <c r="G388" i="6" s="1"/>
  <c r="H387" i="6" s="1"/>
  <c r="H388" i="6" s="1"/>
  <c r="I387" i="6" s="1"/>
  <c r="I388" i="6" s="1"/>
  <c r="J387" i="6" s="1"/>
  <c r="J388" i="6" s="1"/>
  <c r="K387" i="6" s="1"/>
  <c r="K388" i="6" s="1"/>
  <c r="L387" i="6" s="1"/>
  <c r="L388" i="6" s="1"/>
  <c r="M387" i="6" s="1"/>
  <c r="B391" i="6"/>
  <c r="H405" i="6"/>
  <c r="B406" i="6"/>
  <c r="B346" i="6"/>
  <c r="J405" i="6"/>
  <c r="J404" i="6"/>
  <c r="K391" i="6"/>
  <c r="I391" i="6"/>
  <c r="G391" i="6"/>
  <c r="E391" i="6"/>
  <c r="D391" i="6"/>
  <c r="H391" i="6"/>
  <c r="M386" i="6"/>
  <c r="L390" i="6"/>
  <c r="L391" i="6" s="1"/>
  <c r="J391" i="6"/>
  <c r="F391" i="6"/>
  <c r="C391" i="6"/>
  <c r="B376" i="6"/>
  <c r="B373" i="6"/>
  <c r="C372" i="6" s="1"/>
  <c r="C373" i="6" s="1"/>
  <c r="D372" i="6" s="1"/>
  <c r="D373" i="6" s="1"/>
  <c r="E372" i="6" s="1"/>
  <c r="E373" i="6" s="1"/>
  <c r="F372" i="6" s="1"/>
  <c r="F373" i="6" s="1"/>
  <c r="G372" i="6" s="1"/>
  <c r="G373" i="6" s="1"/>
  <c r="H372" i="6" s="1"/>
  <c r="H373" i="6" s="1"/>
  <c r="I372" i="6" s="1"/>
  <c r="H376" i="6"/>
  <c r="C376" i="6"/>
  <c r="F376" i="6"/>
  <c r="G376" i="6"/>
  <c r="E376" i="6"/>
  <c r="D376" i="6"/>
  <c r="J371" i="6"/>
  <c r="I374" i="6"/>
  <c r="I376" i="6" s="1"/>
  <c r="K314" i="6"/>
  <c r="N361" i="6"/>
  <c r="D316" i="6"/>
  <c r="I314" i="6"/>
  <c r="K315" i="6"/>
  <c r="H314" i="6"/>
  <c r="C361" i="6"/>
  <c r="L314" i="6"/>
  <c r="G361" i="6"/>
  <c r="K361" i="6"/>
  <c r="E361" i="6"/>
  <c r="L361" i="6"/>
  <c r="M314" i="6"/>
  <c r="J361" i="6"/>
  <c r="I361" i="6"/>
  <c r="B361" i="6"/>
  <c r="C357" i="6"/>
  <c r="C358" i="6" s="1"/>
  <c r="D357" i="6" s="1"/>
  <c r="D358" i="6" s="1"/>
  <c r="E357" i="6" s="1"/>
  <c r="E358" i="6" s="1"/>
  <c r="F357" i="6" s="1"/>
  <c r="F358" i="6" s="1"/>
  <c r="G357" i="6" s="1"/>
  <c r="G358" i="6" s="1"/>
  <c r="H357" i="6" s="1"/>
  <c r="H358" i="6" s="1"/>
  <c r="I357" i="6" s="1"/>
  <c r="I358" i="6" s="1"/>
  <c r="J357" i="6" s="1"/>
  <c r="J358" i="6" s="1"/>
  <c r="K357" i="6" s="1"/>
  <c r="K358" i="6" s="1"/>
  <c r="L357" i="6" s="1"/>
  <c r="L358" i="6" s="1"/>
  <c r="M357" i="6" s="1"/>
  <c r="M358" i="6" s="1"/>
  <c r="N357" i="6" s="1"/>
  <c r="N358" i="6" s="1"/>
  <c r="O357" i="6" s="1"/>
  <c r="O358" i="6" s="1"/>
  <c r="P357" i="6" s="1"/>
  <c r="H361" i="6"/>
  <c r="H315" i="6"/>
  <c r="C346" i="6"/>
  <c r="N315" i="6"/>
  <c r="O314" i="6"/>
  <c r="F361" i="6"/>
  <c r="D361" i="6"/>
  <c r="O360" i="6"/>
  <c r="O361" i="6" s="1"/>
  <c r="P356" i="6"/>
  <c r="B343" i="6"/>
  <c r="C342" i="6" s="1"/>
  <c r="C343" i="6" s="1"/>
  <c r="D342" i="6" s="1"/>
  <c r="D343" i="6" s="1"/>
  <c r="E342" i="6" s="1"/>
  <c r="I341" i="6"/>
  <c r="H344" i="6"/>
  <c r="F344" i="6"/>
  <c r="H345" i="6"/>
  <c r="E345" i="6"/>
  <c r="G344" i="6"/>
  <c r="F345" i="6"/>
  <c r="E344" i="6"/>
  <c r="O315" i="6"/>
  <c r="D346" i="6"/>
  <c r="G345" i="6"/>
  <c r="N314" i="6"/>
  <c r="B316" i="6"/>
  <c r="M315" i="6"/>
  <c r="F316" i="6"/>
  <c r="C316" i="6"/>
  <c r="E316" i="6"/>
  <c r="G316" i="6"/>
  <c r="P315" i="6"/>
  <c r="P316" i="6" s="1"/>
  <c r="Q311" i="6"/>
  <c r="J314" i="6"/>
  <c r="I315" i="6"/>
  <c r="L315" i="6"/>
  <c r="B313" i="6"/>
  <c r="C312" i="6" s="1"/>
  <c r="C313" i="6" s="1"/>
  <c r="D312" i="6" s="1"/>
  <c r="D313" i="6" s="1"/>
  <c r="E312" i="6" s="1"/>
  <c r="E313" i="6" s="1"/>
  <c r="F312" i="6" s="1"/>
  <c r="F313" i="6" s="1"/>
  <c r="G312" i="6" s="1"/>
  <c r="G313" i="6" s="1"/>
  <c r="H312" i="6" s="1"/>
  <c r="E326" i="6"/>
  <c r="E296" i="6"/>
  <c r="P47" i="6" l="1" a="1"/>
  <c r="P47" i="6" s="1"/>
  <c r="P48" i="6" s="1" a="1"/>
  <c r="P48" i="6" s="1"/>
  <c r="P49" i="6" s="1"/>
  <c r="Q45" i="6"/>
  <c r="Q46" i="6" s="1" a="1"/>
  <c r="Q46" i="6" s="1"/>
  <c r="T44" i="6"/>
  <c r="F416" i="6"/>
  <c r="E420" i="6"/>
  <c r="E419" i="6"/>
  <c r="J406" i="6"/>
  <c r="K406" i="6"/>
  <c r="L406" i="6"/>
  <c r="M406" i="6"/>
  <c r="C402" i="6"/>
  <c r="C403" i="6" s="1"/>
  <c r="D402" i="6" s="1"/>
  <c r="D403" i="6" s="1"/>
  <c r="E402" i="6" s="1"/>
  <c r="E403" i="6" s="1"/>
  <c r="F402" i="6" s="1"/>
  <c r="F403" i="6" s="1"/>
  <c r="G402" i="6" s="1"/>
  <c r="G403" i="6" s="1"/>
  <c r="H402" i="6" s="1"/>
  <c r="H403" i="6" s="1"/>
  <c r="I402" i="6" s="1"/>
  <c r="I403" i="6" s="1"/>
  <c r="J402" i="6" s="1"/>
  <c r="J403" i="6" s="1"/>
  <c r="K402" i="6" s="1"/>
  <c r="K403" i="6" s="1"/>
  <c r="L402" i="6" s="1"/>
  <c r="L403" i="6" s="1"/>
  <c r="M402" i="6" s="1"/>
  <c r="M403" i="6" s="1"/>
  <c r="N402" i="6" s="1"/>
  <c r="I406" i="6"/>
  <c r="H406" i="6"/>
  <c r="O401" i="6"/>
  <c r="N404" i="6"/>
  <c r="N405" i="6"/>
  <c r="N386" i="6"/>
  <c r="M389" i="6"/>
  <c r="M390" i="6"/>
  <c r="K316" i="6"/>
  <c r="I373" i="6"/>
  <c r="J372" i="6" s="1"/>
  <c r="J374" i="6"/>
  <c r="K371" i="6"/>
  <c r="J375" i="6"/>
  <c r="H316" i="6"/>
  <c r="M316" i="6"/>
  <c r="H313" i="6"/>
  <c r="I312" i="6" s="1"/>
  <c r="I313" i="6" s="1"/>
  <c r="J312" i="6" s="1"/>
  <c r="J313" i="6" s="1"/>
  <c r="K312" i="6" s="1"/>
  <c r="K313" i="6" s="1"/>
  <c r="L312" i="6" s="1"/>
  <c r="L313" i="6" s="1"/>
  <c r="M312" i="6" s="1"/>
  <c r="M313" i="6" s="1"/>
  <c r="N312" i="6" s="1"/>
  <c r="N313" i="6" s="1"/>
  <c r="O312" i="6" s="1"/>
  <c r="O313" i="6" s="1"/>
  <c r="P312" i="6" s="1"/>
  <c r="P313" i="6" s="1"/>
  <c r="Q312" i="6" s="1"/>
  <c r="L316" i="6"/>
  <c r="I316" i="6"/>
  <c r="J316" i="6"/>
  <c r="O316" i="6"/>
  <c r="N316" i="6"/>
  <c r="Q356" i="6"/>
  <c r="P360" i="6"/>
  <c r="P359" i="6"/>
  <c r="E346" i="6"/>
  <c r="G346" i="6"/>
  <c r="F346" i="6"/>
  <c r="H346" i="6"/>
  <c r="J341" i="6"/>
  <c r="J345" i="6" s="1"/>
  <c r="I344" i="6"/>
  <c r="I345" i="6"/>
  <c r="E343" i="6"/>
  <c r="F342" i="6" s="1"/>
  <c r="F343" i="6" s="1"/>
  <c r="G342" i="6" s="1"/>
  <c r="G343" i="6" s="1"/>
  <c r="H342" i="6" s="1"/>
  <c r="H343" i="6" s="1"/>
  <c r="I342" i="6" s="1"/>
  <c r="R311" i="6"/>
  <c r="Q315" i="6"/>
  <c r="Q314" i="6"/>
  <c r="F326" i="6"/>
  <c r="F296" i="6"/>
  <c r="Q47" i="6" l="1" a="1"/>
  <c r="Q47" i="6" s="1"/>
  <c r="Q48" i="6" s="1" a="1"/>
  <c r="Q48" i="6" s="1"/>
  <c r="Q49" i="6" s="1"/>
  <c r="R45" i="6"/>
  <c r="R46" i="6" s="1" a="1"/>
  <c r="R46" i="6" s="1"/>
  <c r="U44" i="6"/>
  <c r="E421" i="6"/>
  <c r="F420" i="6"/>
  <c r="G416" i="6"/>
  <c r="F419" i="6"/>
  <c r="E418" i="6"/>
  <c r="F417" i="6" s="1"/>
  <c r="N406" i="6"/>
  <c r="P401" i="6"/>
  <c r="O404" i="6"/>
  <c r="O405" i="6"/>
  <c r="N403" i="6"/>
  <c r="O402" i="6" s="1"/>
  <c r="M391" i="6"/>
  <c r="M388" i="6"/>
  <c r="N387" i="6" s="1"/>
  <c r="O386" i="6"/>
  <c r="N389" i="6"/>
  <c r="N390" i="6"/>
  <c r="J373" i="6"/>
  <c r="K372" i="6" s="1"/>
  <c r="L371" i="6"/>
  <c r="K374" i="6"/>
  <c r="K375" i="6"/>
  <c r="J376" i="6"/>
  <c r="P361" i="6"/>
  <c r="R356" i="6"/>
  <c r="Q360" i="6"/>
  <c r="Q359" i="6"/>
  <c r="P358" i="6"/>
  <c r="Q357" i="6" s="1"/>
  <c r="I346" i="6"/>
  <c r="K341" i="6"/>
  <c r="J344" i="6"/>
  <c r="I343" i="6"/>
  <c r="J342" i="6" s="1"/>
  <c r="Q313" i="6"/>
  <c r="R312" i="6" s="1"/>
  <c r="Q316" i="6"/>
  <c r="S311" i="6"/>
  <c r="R314" i="6"/>
  <c r="R315" i="6"/>
  <c r="G326" i="6"/>
  <c r="G296" i="6"/>
  <c r="R47" i="6" l="1" a="1"/>
  <c r="R47" i="6" s="1"/>
  <c r="R48" i="6" s="1" a="1"/>
  <c r="R48" i="6" s="1"/>
  <c r="R49" i="6" s="1"/>
  <c r="S45" i="6"/>
  <c r="S46" i="6" s="1" a="1"/>
  <c r="S46" i="6" s="1"/>
  <c r="F418" i="6"/>
  <c r="G417" i="6" s="1"/>
  <c r="V44" i="6"/>
  <c r="O403" i="6"/>
  <c r="P402" i="6" s="1"/>
  <c r="F421" i="6"/>
  <c r="G419" i="6"/>
  <c r="H416" i="6"/>
  <c r="G420" i="6"/>
  <c r="N388" i="6"/>
  <c r="O387" i="6" s="1"/>
  <c r="O406" i="6"/>
  <c r="Q401" i="6"/>
  <c r="P405" i="6"/>
  <c r="P404" i="6"/>
  <c r="P386" i="6"/>
  <c r="O389" i="6"/>
  <c r="O390" i="6"/>
  <c r="N391" i="6"/>
  <c r="K376" i="6"/>
  <c r="M371" i="6"/>
  <c r="L375" i="6"/>
  <c r="L374" i="6"/>
  <c r="K373" i="6"/>
  <c r="L372" i="6" s="1"/>
  <c r="Q358" i="6"/>
  <c r="R357" i="6" s="1"/>
  <c r="Q361" i="6"/>
  <c r="S356" i="6"/>
  <c r="R359" i="6"/>
  <c r="R360" i="6"/>
  <c r="J346" i="6"/>
  <c r="L341" i="6"/>
  <c r="K345" i="6"/>
  <c r="K344" i="6"/>
  <c r="J343" i="6"/>
  <c r="K342" i="6" s="1"/>
  <c r="R316" i="6"/>
  <c r="T311" i="6"/>
  <c r="S314" i="6"/>
  <c r="S315" i="6"/>
  <c r="R313" i="6"/>
  <c r="S312" i="6" s="1"/>
  <c r="H326" i="6"/>
  <c r="H296" i="6"/>
  <c r="S47" i="6" l="1" a="1"/>
  <c r="S47" i="6" s="1"/>
  <c r="S48" i="6" s="1" a="1"/>
  <c r="S48" i="6" s="1"/>
  <c r="S49" i="6" s="1"/>
  <c r="T45" i="6"/>
  <c r="T46" i="6" s="1" a="1"/>
  <c r="T46" i="6" s="1"/>
  <c r="W44" i="6"/>
  <c r="P403" i="6"/>
  <c r="Q402" i="6" s="1"/>
  <c r="I416" i="6"/>
  <c r="H419" i="6"/>
  <c r="H420" i="6"/>
  <c r="G421" i="6"/>
  <c r="G418" i="6"/>
  <c r="H417" i="6" s="1"/>
  <c r="O388" i="6"/>
  <c r="P387" i="6" s="1"/>
  <c r="P406" i="6"/>
  <c r="L373" i="6"/>
  <c r="M372" i="6" s="1"/>
  <c r="R401" i="6"/>
  <c r="Q405" i="6"/>
  <c r="Q404" i="6"/>
  <c r="K343" i="6"/>
  <c r="L342" i="6" s="1"/>
  <c r="O391" i="6"/>
  <c r="Q386" i="6"/>
  <c r="P389" i="6"/>
  <c r="P390" i="6"/>
  <c r="L376" i="6"/>
  <c r="N371" i="6"/>
  <c r="M374" i="6"/>
  <c r="M375" i="6"/>
  <c r="R358" i="6"/>
  <c r="S357" i="6" s="1"/>
  <c r="T356" i="6"/>
  <c r="S360" i="6"/>
  <c r="S359" i="6"/>
  <c r="S313" i="6"/>
  <c r="T312" i="6" s="1"/>
  <c r="R361" i="6"/>
  <c r="M341" i="6"/>
  <c r="L344" i="6"/>
  <c r="L345" i="6"/>
  <c r="K346" i="6"/>
  <c r="S316" i="6"/>
  <c r="U311" i="6"/>
  <c r="T315" i="6"/>
  <c r="T314" i="6"/>
  <c r="I326" i="6"/>
  <c r="I296" i="6"/>
  <c r="T47" i="6" l="1" a="1"/>
  <c r="T47" i="6" s="1"/>
  <c r="T48" i="6" s="1" a="1"/>
  <c r="T48" i="6" s="1"/>
  <c r="T49" i="6" s="1"/>
  <c r="U45" i="6"/>
  <c r="U46" i="6" s="1" a="1"/>
  <c r="U46" i="6" s="1"/>
  <c r="X44" i="6"/>
  <c r="H421" i="6"/>
  <c r="H418" i="6"/>
  <c r="I417" i="6" s="1"/>
  <c r="I419" i="6"/>
  <c r="J416" i="6"/>
  <c r="I420" i="6"/>
  <c r="S358" i="6"/>
  <c r="T357" i="6" s="1"/>
  <c r="M373" i="6"/>
  <c r="N372" i="6" s="1"/>
  <c r="Q406" i="6"/>
  <c r="Q403" i="6"/>
  <c r="R402" i="6" s="1"/>
  <c r="S401" i="6"/>
  <c r="R405" i="6"/>
  <c r="R404" i="6"/>
  <c r="P391" i="6"/>
  <c r="R386" i="6"/>
  <c r="Q389" i="6"/>
  <c r="Q390" i="6"/>
  <c r="P388" i="6"/>
  <c r="Q387" i="6" s="1"/>
  <c r="M376" i="6"/>
  <c r="O371" i="6"/>
  <c r="N375" i="6"/>
  <c r="N374" i="6"/>
  <c r="S361" i="6"/>
  <c r="U356" i="6"/>
  <c r="T360" i="6"/>
  <c r="T359" i="6"/>
  <c r="L346" i="6"/>
  <c r="N341" i="6"/>
  <c r="M345" i="6"/>
  <c r="M344" i="6"/>
  <c r="L343" i="6"/>
  <c r="M342" i="6" s="1"/>
  <c r="T316" i="6"/>
  <c r="V311" i="6"/>
  <c r="U314" i="6"/>
  <c r="U315" i="6"/>
  <c r="T313" i="6"/>
  <c r="U312" i="6" s="1"/>
  <c r="J326" i="6"/>
  <c r="J330" i="6" s="1"/>
  <c r="J296" i="6"/>
  <c r="U47" i="6" l="1" a="1"/>
  <c r="U47" i="6" s="1"/>
  <c r="U48" i="6" s="1" a="1"/>
  <c r="U48" i="6" s="1"/>
  <c r="U49" i="6" s="1"/>
  <c r="V45" i="6"/>
  <c r="V46" i="6" s="1" a="1"/>
  <c r="V46" i="6" s="1"/>
  <c r="Y44" i="6"/>
  <c r="R406" i="6"/>
  <c r="I418" i="6"/>
  <c r="J417" i="6" s="1"/>
  <c r="K416" i="6"/>
  <c r="J419" i="6"/>
  <c r="J420" i="6"/>
  <c r="I421" i="6"/>
  <c r="Q388" i="6"/>
  <c r="R387" i="6" s="1"/>
  <c r="R403" i="6"/>
  <c r="S402" i="6" s="1"/>
  <c r="S404" i="6"/>
  <c r="T401" i="6"/>
  <c r="S405" i="6"/>
  <c r="Q391" i="6"/>
  <c r="S386" i="6"/>
  <c r="R389" i="6"/>
  <c r="R390" i="6"/>
  <c r="N376" i="6"/>
  <c r="P371" i="6"/>
  <c r="O375" i="6"/>
  <c r="O374" i="6"/>
  <c r="N373" i="6"/>
  <c r="O372" i="6" s="1"/>
  <c r="T361" i="6"/>
  <c r="U313" i="6"/>
  <c r="V312" i="6" s="1"/>
  <c r="V356" i="6"/>
  <c r="U359" i="6"/>
  <c r="U360" i="6"/>
  <c r="T358" i="6"/>
  <c r="U357" i="6" s="1"/>
  <c r="M343" i="6"/>
  <c r="N342" i="6" s="1"/>
  <c r="M346" i="6"/>
  <c r="N345" i="6"/>
  <c r="O341" i="6"/>
  <c r="N344" i="6"/>
  <c r="U316" i="6"/>
  <c r="W311" i="6"/>
  <c r="V315" i="6"/>
  <c r="V314" i="6"/>
  <c r="K326" i="6"/>
  <c r="K296" i="6"/>
  <c r="V47" i="6" l="1" a="1"/>
  <c r="V47" i="6" s="1"/>
  <c r="V48" i="6" s="1" a="1"/>
  <c r="V48" i="6" s="1"/>
  <c r="V49" i="6" s="1"/>
  <c r="W45" i="6"/>
  <c r="W46" i="6" s="1" a="1"/>
  <c r="W46" i="6" s="1"/>
  <c r="Z44" i="6"/>
  <c r="J418" i="6"/>
  <c r="K417" i="6" s="1"/>
  <c r="J421" i="6"/>
  <c r="L416" i="6"/>
  <c r="K419" i="6"/>
  <c r="K420" i="6"/>
  <c r="O373" i="6"/>
  <c r="P372" i="6" s="1"/>
  <c r="R388" i="6"/>
  <c r="S387" i="6" s="1"/>
  <c r="S406" i="6"/>
  <c r="S403" i="6"/>
  <c r="T402" i="6" s="1"/>
  <c r="U401" i="6"/>
  <c r="T404" i="6"/>
  <c r="T405" i="6"/>
  <c r="T386" i="6"/>
  <c r="S390" i="6"/>
  <c r="S389" i="6"/>
  <c r="U358" i="6"/>
  <c r="V357" i="6" s="1"/>
  <c r="R391" i="6"/>
  <c r="O376" i="6"/>
  <c r="Q371" i="6"/>
  <c r="P375" i="6"/>
  <c r="P374" i="6"/>
  <c r="N346" i="6"/>
  <c r="V316" i="6"/>
  <c r="U361" i="6"/>
  <c r="W356" i="6"/>
  <c r="V359" i="6"/>
  <c r="V360" i="6"/>
  <c r="O345" i="6"/>
  <c r="P341" i="6"/>
  <c r="O344" i="6"/>
  <c r="N343" i="6"/>
  <c r="O342" i="6" s="1"/>
  <c r="X311" i="6"/>
  <c r="W314" i="6"/>
  <c r="W315" i="6"/>
  <c r="V313" i="6"/>
  <c r="W312" i="6" s="1"/>
  <c r="L326" i="6"/>
  <c r="L296" i="6"/>
  <c r="W47" i="6" l="1" a="1"/>
  <c r="W47" i="6" s="1"/>
  <c r="W48" i="6" s="1" a="1"/>
  <c r="W48" i="6" s="1"/>
  <c r="W49" i="6" s="1"/>
  <c r="X45" i="6"/>
  <c r="X46" i="6" s="1" a="1"/>
  <c r="X46" i="6" s="1"/>
  <c r="AA44" i="6"/>
  <c r="K421" i="6"/>
  <c r="M416" i="6"/>
  <c r="L419" i="6"/>
  <c r="L420" i="6"/>
  <c r="K418" i="6"/>
  <c r="L417" i="6" s="1"/>
  <c r="P376" i="6"/>
  <c r="O343" i="6"/>
  <c r="P342" i="6" s="1"/>
  <c r="S388" i="6"/>
  <c r="T387" i="6" s="1"/>
  <c r="S391" i="6"/>
  <c r="T406" i="6"/>
  <c r="V401" i="6"/>
  <c r="U405" i="6"/>
  <c r="U404" i="6"/>
  <c r="T403" i="6"/>
  <c r="U402" i="6" s="1"/>
  <c r="V358" i="6"/>
  <c r="W357" i="6" s="1"/>
  <c r="U386" i="6"/>
  <c r="T389" i="6"/>
  <c r="T390" i="6"/>
  <c r="R371" i="6"/>
  <c r="Q374" i="6"/>
  <c r="Q375" i="6"/>
  <c r="P373" i="6"/>
  <c r="Q372" i="6" s="1"/>
  <c r="V361" i="6"/>
  <c r="X356" i="6"/>
  <c r="W360" i="6"/>
  <c r="W359" i="6"/>
  <c r="O346" i="6"/>
  <c r="P345" i="6"/>
  <c r="Q341" i="6"/>
  <c r="P344" i="6"/>
  <c r="W313" i="6"/>
  <c r="X312" i="6" s="1"/>
  <c r="W316" i="6"/>
  <c r="Y311" i="6"/>
  <c r="X314" i="6"/>
  <c r="X315" i="6"/>
  <c r="M326" i="6"/>
  <c r="M296" i="6"/>
  <c r="X47" i="6" l="1" a="1"/>
  <c r="X47" i="6" s="1"/>
  <c r="X48" i="6" s="1" a="1"/>
  <c r="X48" i="6" s="1"/>
  <c r="X49" i="6" s="1"/>
  <c r="Y45" i="6"/>
  <c r="Y46" i="6" s="1" a="1"/>
  <c r="Y46" i="6" s="1"/>
  <c r="AB44" i="6"/>
  <c r="L418" i="6"/>
  <c r="M417" i="6" s="1"/>
  <c r="L421" i="6"/>
  <c r="M420" i="6"/>
  <c r="N416" i="6"/>
  <c r="M419" i="6"/>
  <c r="U406" i="6"/>
  <c r="U403" i="6"/>
  <c r="V402" i="6" s="1"/>
  <c r="W401" i="6"/>
  <c r="V405" i="6"/>
  <c r="V404" i="6"/>
  <c r="Q373" i="6"/>
  <c r="R372" i="6" s="1"/>
  <c r="T391" i="6"/>
  <c r="V386" i="6"/>
  <c r="U389" i="6"/>
  <c r="U390" i="6"/>
  <c r="T388" i="6"/>
  <c r="U387" i="6" s="1"/>
  <c r="Q376" i="6"/>
  <c r="S371" i="6"/>
  <c r="R375" i="6"/>
  <c r="R374" i="6"/>
  <c r="W361" i="6"/>
  <c r="W358" i="6"/>
  <c r="X357" i="6" s="1"/>
  <c r="Y356" i="6"/>
  <c r="X359" i="6"/>
  <c r="X360" i="6"/>
  <c r="P346" i="6"/>
  <c r="R341" i="6"/>
  <c r="Q345" i="6"/>
  <c r="Q344" i="6"/>
  <c r="P343" i="6"/>
  <c r="Q342" i="6" s="1"/>
  <c r="X316" i="6"/>
  <c r="Z311" i="6"/>
  <c r="Y314" i="6"/>
  <c r="Y315" i="6"/>
  <c r="X313" i="6"/>
  <c r="Y312" i="6" s="1"/>
  <c r="N326" i="6"/>
  <c r="N296" i="6"/>
  <c r="Y47" i="6" l="1" a="1"/>
  <c r="Y47" i="6" s="1"/>
  <c r="Y48" i="6" s="1" a="1"/>
  <c r="Y48" i="6" s="1"/>
  <c r="Y49" i="6" s="1"/>
  <c r="Z45" i="6"/>
  <c r="Z46" i="6" s="1" a="1"/>
  <c r="Z46" i="6" s="1"/>
  <c r="M421" i="6"/>
  <c r="AC44" i="6"/>
  <c r="O416" i="6"/>
  <c r="N420" i="6"/>
  <c r="N419" i="6"/>
  <c r="M418" i="6"/>
  <c r="N417" i="6" s="1"/>
  <c r="Q343" i="6"/>
  <c r="R342" i="6" s="1"/>
  <c r="U388" i="6"/>
  <c r="V387" i="6" s="1"/>
  <c r="V406" i="6"/>
  <c r="X401" i="6"/>
  <c r="W404" i="6"/>
  <c r="W405" i="6"/>
  <c r="V403" i="6"/>
  <c r="W402" i="6" s="1"/>
  <c r="U391" i="6"/>
  <c r="W386" i="6"/>
  <c r="V390" i="6"/>
  <c r="V389" i="6"/>
  <c r="R376" i="6"/>
  <c r="T371" i="6"/>
  <c r="S375" i="6"/>
  <c r="S374" i="6"/>
  <c r="R373" i="6"/>
  <c r="S372" i="6" s="1"/>
  <c r="X358" i="6"/>
  <c r="Y357" i="6" s="1"/>
  <c r="X361" i="6"/>
  <c r="Y313" i="6"/>
  <c r="Z312" i="6" s="1"/>
  <c r="Z356" i="6"/>
  <c r="Y360" i="6"/>
  <c r="Y359" i="6"/>
  <c r="Q346" i="6"/>
  <c r="S341" i="6"/>
  <c r="R345" i="6"/>
  <c r="R344" i="6"/>
  <c r="Y316" i="6"/>
  <c r="AA311" i="6"/>
  <c r="Z315" i="6"/>
  <c r="Z314" i="6"/>
  <c r="O326" i="6"/>
  <c r="O296" i="6"/>
  <c r="Z47" i="6" l="1" a="1"/>
  <c r="Z47" i="6" s="1"/>
  <c r="Z48" i="6" s="1" a="1"/>
  <c r="Z48" i="6" s="1"/>
  <c r="Z49" i="6" s="1"/>
  <c r="AA45" i="6"/>
  <c r="AA46" i="6" s="1" a="1"/>
  <c r="AA46" i="6" s="1"/>
  <c r="AD44" i="6"/>
  <c r="N418" i="6"/>
  <c r="O417" i="6" s="1"/>
  <c r="W403" i="6"/>
  <c r="X402" i="6" s="1"/>
  <c r="N421" i="6"/>
  <c r="P416" i="6"/>
  <c r="O419" i="6"/>
  <c r="O420" i="6"/>
  <c r="Z316" i="6"/>
  <c r="V391" i="6"/>
  <c r="W406" i="6"/>
  <c r="S373" i="6"/>
  <c r="T372" i="6" s="1"/>
  <c r="Y401" i="6"/>
  <c r="X404" i="6"/>
  <c r="X405" i="6"/>
  <c r="X386" i="6"/>
  <c r="W390" i="6"/>
  <c r="W389" i="6"/>
  <c r="V388" i="6"/>
  <c r="W387" i="6" s="1"/>
  <c r="S376" i="6"/>
  <c r="R346" i="6"/>
  <c r="U371" i="6"/>
  <c r="T374" i="6"/>
  <c r="T375" i="6"/>
  <c r="Y361" i="6"/>
  <c r="Y358" i="6"/>
  <c r="Z357" i="6" s="1"/>
  <c r="Z360" i="6"/>
  <c r="AA356" i="6"/>
  <c r="Z359" i="6"/>
  <c r="T341" i="6"/>
  <c r="S345" i="6"/>
  <c r="S344" i="6"/>
  <c r="R343" i="6"/>
  <c r="S342" i="6" s="1"/>
  <c r="AB311" i="6"/>
  <c r="AA314" i="6"/>
  <c r="AA315" i="6"/>
  <c r="Z313" i="6"/>
  <c r="AA312" i="6" s="1"/>
  <c r="P326" i="6"/>
  <c r="P296" i="6"/>
  <c r="AA47" i="6" l="1" a="1"/>
  <c r="AA47" i="6" s="1"/>
  <c r="AA48" i="6" s="1" a="1"/>
  <c r="AA48" i="6" s="1"/>
  <c r="AA49" i="6" s="1"/>
  <c r="AB45" i="6"/>
  <c r="AB46" i="6" s="1" a="1"/>
  <c r="AB46" i="6" s="1"/>
  <c r="AE44" i="6"/>
  <c r="W388" i="6"/>
  <c r="X387" i="6" s="1"/>
  <c r="O421" i="6"/>
  <c r="P420" i="6"/>
  <c r="Q416" i="6"/>
  <c r="P419" i="6"/>
  <c r="O418" i="6"/>
  <c r="P417" i="6" s="1"/>
  <c r="S343" i="6"/>
  <c r="T342" i="6" s="1"/>
  <c r="W391" i="6"/>
  <c r="X406" i="6"/>
  <c r="Z401" i="6"/>
  <c r="Y405" i="6"/>
  <c r="Y404" i="6"/>
  <c r="X403" i="6"/>
  <c r="Y402" i="6" s="1"/>
  <c r="Y386" i="6"/>
  <c r="X389" i="6"/>
  <c r="X390" i="6"/>
  <c r="Z361" i="6"/>
  <c r="V371" i="6"/>
  <c r="U374" i="6"/>
  <c r="U375" i="6"/>
  <c r="T376" i="6"/>
  <c r="Z358" i="6"/>
  <c r="AA357" i="6" s="1"/>
  <c r="T373" i="6"/>
  <c r="U372" i="6" s="1"/>
  <c r="AB356" i="6"/>
  <c r="AA360" i="6"/>
  <c r="AA359" i="6"/>
  <c r="S346" i="6"/>
  <c r="U341" i="6"/>
  <c r="T345" i="6"/>
  <c r="T344" i="6"/>
  <c r="AA313" i="6"/>
  <c r="AB312" i="6" s="1"/>
  <c r="AA316" i="6"/>
  <c r="AC311" i="6"/>
  <c r="AB315" i="6"/>
  <c r="AB314" i="6"/>
  <c r="Q326" i="6"/>
  <c r="Q296" i="6"/>
  <c r="AB47" i="6" l="1" a="1"/>
  <c r="AB47" i="6" s="1"/>
  <c r="AB48" i="6" s="1" a="1"/>
  <c r="AB48" i="6" s="1"/>
  <c r="AB49" i="6" s="1"/>
  <c r="AC45" i="6"/>
  <c r="AC46" i="6" s="1" a="1"/>
  <c r="AC46" i="6" s="1"/>
  <c r="Y406" i="6"/>
  <c r="P418" i="6"/>
  <c r="Q417" i="6" s="1"/>
  <c r="P421" i="6"/>
  <c r="AF44" i="6"/>
  <c r="Y403" i="6"/>
  <c r="Z402" i="6" s="1"/>
  <c r="Q420" i="6"/>
  <c r="R416" i="6"/>
  <c r="Q419" i="6"/>
  <c r="AA361" i="6"/>
  <c r="U373" i="6"/>
  <c r="V372" i="6" s="1"/>
  <c r="AA401" i="6"/>
  <c r="Z404" i="6"/>
  <c r="Z405" i="6"/>
  <c r="X391" i="6"/>
  <c r="Z386" i="6"/>
  <c r="Y390" i="6"/>
  <c r="Y389" i="6"/>
  <c r="X388" i="6"/>
  <c r="Y387" i="6" s="1"/>
  <c r="U376" i="6"/>
  <c r="T346" i="6"/>
  <c r="V374" i="6"/>
  <c r="W371" i="6"/>
  <c r="V375" i="6"/>
  <c r="AA358" i="6"/>
  <c r="AB357" i="6" s="1"/>
  <c r="AC356" i="6"/>
  <c r="AB359" i="6"/>
  <c r="AB360" i="6"/>
  <c r="V341" i="6"/>
  <c r="U345" i="6"/>
  <c r="U344" i="6"/>
  <c r="T343" i="6"/>
  <c r="U342" i="6" s="1"/>
  <c r="AB316" i="6"/>
  <c r="AD311" i="6"/>
  <c r="AC314" i="6"/>
  <c r="AC315" i="6"/>
  <c r="AB313" i="6"/>
  <c r="AC312" i="6" s="1"/>
  <c r="R326" i="6"/>
  <c r="R296" i="6"/>
  <c r="AC47" i="6" l="1" a="1"/>
  <c r="AC47" i="6" s="1"/>
  <c r="AC48" i="6" s="1" a="1"/>
  <c r="AC48" i="6" s="1"/>
  <c r="AC49" i="6" s="1"/>
  <c r="AD45" i="6"/>
  <c r="AD46" i="6" s="1" a="1"/>
  <c r="AD46" i="6" s="1"/>
  <c r="Q418" i="6"/>
  <c r="R417" i="6" s="1"/>
  <c r="AF45" i="6"/>
  <c r="AG44" i="6"/>
  <c r="Q421" i="6"/>
  <c r="U343" i="6"/>
  <c r="V342" i="6" s="1"/>
  <c r="R420" i="6"/>
  <c r="S416" i="6"/>
  <c r="R419" i="6"/>
  <c r="Y388" i="6"/>
  <c r="Z387" i="6" s="1"/>
  <c r="Z406" i="6"/>
  <c r="AB401" i="6"/>
  <c r="AA405" i="6"/>
  <c r="AA404" i="6"/>
  <c r="Z403" i="6"/>
  <c r="AA402" i="6" s="1"/>
  <c r="Y391" i="6"/>
  <c r="AA386" i="6"/>
  <c r="Z389" i="6"/>
  <c r="Z390" i="6"/>
  <c r="X371" i="6"/>
  <c r="W375" i="6"/>
  <c r="W374" i="6"/>
  <c r="V376" i="6"/>
  <c r="U346" i="6"/>
  <c r="V373" i="6"/>
  <c r="W372" i="6" s="1"/>
  <c r="AB361" i="6"/>
  <c r="AD356" i="6"/>
  <c r="AC360" i="6"/>
  <c r="AC359" i="6"/>
  <c r="AC313" i="6"/>
  <c r="AD312" i="6" s="1"/>
  <c r="AB358" i="6"/>
  <c r="AC357" i="6" s="1"/>
  <c r="W341" i="6"/>
  <c r="V344" i="6"/>
  <c r="V345" i="6"/>
  <c r="AC316" i="6"/>
  <c r="AE311" i="6"/>
  <c r="AD314" i="6"/>
  <c r="AD315" i="6"/>
  <c r="S326" i="6"/>
  <c r="S296" i="6"/>
  <c r="AD47" i="6" l="1" a="1"/>
  <c r="AD47" i="6" s="1"/>
  <c r="AD48" i="6" s="1" a="1"/>
  <c r="AD48" i="6" s="1"/>
  <c r="AD49" i="6" s="1"/>
  <c r="AE45" i="6"/>
  <c r="AE46" i="6" s="1" a="1"/>
  <c r="AE46" i="6" s="1"/>
  <c r="AE47" i="6" s="1" a="1"/>
  <c r="AE47" i="6" s="1"/>
  <c r="AE48" i="6" s="1" a="1"/>
  <c r="AE48" i="6" s="1"/>
  <c r="AE49" i="6" s="1"/>
  <c r="AA403" i="6"/>
  <c r="AB402" i="6" s="1"/>
  <c r="R421" i="6"/>
  <c r="AH44" i="6"/>
  <c r="AG45" i="6"/>
  <c r="AF46" i="6" a="1"/>
  <c r="AF46" i="6" s="1"/>
  <c r="AF47" i="6" s="1" a="1"/>
  <c r="AF47" i="6" s="1"/>
  <c r="R418" i="6"/>
  <c r="S417" i="6" s="1"/>
  <c r="S419" i="6"/>
  <c r="T416" i="6"/>
  <c r="S420" i="6"/>
  <c r="AC361" i="6"/>
  <c r="AA406" i="6"/>
  <c r="W373" i="6"/>
  <c r="X372" i="6" s="1"/>
  <c r="AC401" i="6"/>
  <c r="AB405" i="6"/>
  <c r="AB404" i="6"/>
  <c r="AB386" i="6"/>
  <c r="AA390" i="6"/>
  <c r="AA389" i="6"/>
  <c r="Z391" i="6"/>
  <c r="Z388" i="6"/>
  <c r="AA387" i="6" s="1"/>
  <c r="W376" i="6"/>
  <c r="Y371" i="6"/>
  <c r="X375" i="6"/>
  <c r="X374" i="6"/>
  <c r="AC358" i="6"/>
  <c r="AD357" i="6" s="1"/>
  <c r="AE356" i="6"/>
  <c r="AD360" i="6"/>
  <c r="AD359" i="6"/>
  <c r="X341" i="6"/>
  <c r="W345" i="6"/>
  <c r="W344" i="6"/>
  <c r="V346" i="6"/>
  <c r="V343" i="6"/>
  <c r="W342" i="6" s="1"/>
  <c r="AD316" i="6"/>
  <c r="AE314" i="6"/>
  <c r="AE315" i="6"/>
  <c r="AD313" i="6"/>
  <c r="AE312" i="6" s="1"/>
  <c r="T326" i="6"/>
  <c r="T296" i="6"/>
  <c r="AF48" i="6" l="1" a="1"/>
  <c r="AF48" i="6" s="1"/>
  <c r="AF49" i="6" s="1"/>
  <c r="AH45" i="6"/>
  <c r="AI44" i="6"/>
  <c r="AG46" i="6" a="1"/>
  <c r="AG46" i="6" s="1"/>
  <c r="AG47" i="6" s="1" a="1"/>
  <c r="AG47" i="6" s="1"/>
  <c r="AB406" i="6"/>
  <c r="S418" i="6"/>
  <c r="T417" i="6" s="1"/>
  <c r="AA391" i="6"/>
  <c r="T419" i="6"/>
  <c r="U416" i="6"/>
  <c r="T420" i="6"/>
  <c r="S421" i="6"/>
  <c r="X376" i="6"/>
  <c r="AA388" i="6"/>
  <c r="AB387" i="6" s="1"/>
  <c r="AD401" i="6"/>
  <c r="AC405" i="6"/>
  <c r="AC404" i="6"/>
  <c r="AB403" i="6"/>
  <c r="AC402" i="6" s="1"/>
  <c r="AC386" i="6"/>
  <c r="AB390" i="6"/>
  <c r="AB389" i="6"/>
  <c r="Z371" i="6"/>
  <c r="Y374" i="6"/>
  <c r="Y375" i="6"/>
  <c r="W343" i="6"/>
  <c r="X342" i="6" s="1"/>
  <c r="X373" i="6"/>
  <c r="Y372" i="6" s="1"/>
  <c r="AD361" i="6"/>
  <c r="AE360" i="6"/>
  <c r="AE359" i="6"/>
  <c r="AD358" i="6"/>
  <c r="AE357" i="6" s="1"/>
  <c r="W346" i="6"/>
  <c r="Y341" i="6"/>
  <c r="X345" i="6"/>
  <c r="X344" i="6"/>
  <c r="AE313" i="6"/>
  <c r="AE316" i="6"/>
  <c r="U326" i="6"/>
  <c r="U296" i="6"/>
  <c r="AC406" i="6" l="1"/>
  <c r="AG48" i="6" a="1"/>
  <c r="AG48" i="6" s="1"/>
  <c r="AG49" i="6" s="1"/>
  <c r="AJ44" i="6"/>
  <c r="AI45" i="6"/>
  <c r="AH46" i="6" a="1"/>
  <c r="AH46" i="6" s="1"/>
  <c r="AH47" i="6" s="1" a="1"/>
  <c r="AH47" i="6" s="1"/>
  <c r="T418" i="6"/>
  <c r="U417" i="6" s="1"/>
  <c r="V416" i="6"/>
  <c r="U420" i="6"/>
  <c r="U419" i="6"/>
  <c r="T421" i="6"/>
  <c r="AC403" i="6"/>
  <c r="AD402" i="6" s="1"/>
  <c r="AB388" i="6"/>
  <c r="AC387" i="6" s="1"/>
  <c r="AB391" i="6"/>
  <c r="Y373" i="6"/>
  <c r="Z372" i="6" s="1"/>
  <c r="AE401" i="6"/>
  <c r="AD405" i="6"/>
  <c r="AD404" i="6"/>
  <c r="AE358" i="6"/>
  <c r="AD386" i="6"/>
  <c r="AC390" i="6"/>
  <c r="AC389" i="6"/>
  <c r="Y376" i="6"/>
  <c r="AA371" i="6"/>
  <c r="Z375" i="6"/>
  <c r="Z374" i="6"/>
  <c r="AE361" i="6"/>
  <c r="X346" i="6"/>
  <c r="Z341" i="6"/>
  <c r="Y345" i="6"/>
  <c r="Y344" i="6"/>
  <c r="X343" i="6"/>
  <c r="Y342" i="6" s="1"/>
  <c r="V326" i="6"/>
  <c r="V296" i="6"/>
  <c r="AD406" i="6" l="1"/>
  <c r="AH48" i="6" a="1"/>
  <c r="AH48" i="6" s="1"/>
  <c r="AH49" i="6" s="1"/>
  <c r="AJ45" i="6"/>
  <c r="AK44" i="6"/>
  <c r="AI46" i="6" a="1"/>
  <c r="AI46" i="6" s="1"/>
  <c r="AI47" i="6" s="1" a="1"/>
  <c r="AI47" i="6" s="1"/>
  <c r="U421" i="6"/>
  <c r="V419" i="6"/>
  <c r="W416" i="6"/>
  <c r="V420" i="6"/>
  <c r="U418" i="6"/>
  <c r="V417" i="6" s="1"/>
  <c r="AE404" i="6"/>
  <c r="AE405" i="6"/>
  <c r="AD403" i="6"/>
  <c r="AE402" i="6" s="1"/>
  <c r="AC391" i="6"/>
  <c r="AC388" i="6"/>
  <c r="AD387" i="6" s="1"/>
  <c r="AE386" i="6"/>
  <c r="AD389" i="6"/>
  <c r="AD390" i="6"/>
  <c r="Y346" i="6"/>
  <c r="Z376" i="6"/>
  <c r="AB371" i="6"/>
  <c r="AA375" i="6"/>
  <c r="AA374" i="6"/>
  <c r="Z373" i="6"/>
  <c r="AA372" i="6" s="1"/>
  <c r="Y343" i="6"/>
  <c r="Z342" i="6" s="1"/>
  <c r="Z345" i="6"/>
  <c r="AA341" i="6"/>
  <c r="Z344" i="6"/>
  <c r="W326" i="6"/>
  <c r="W296" i="6"/>
  <c r="AI48" i="6" l="1" a="1"/>
  <c r="AI48" i="6" s="1"/>
  <c r="AI49" i="6" s="1"/>
  <c r="AJ46" i="6" a="1"/>
  <c r="AJ46" i="6" s="1"/>
  <c r="AJ47" i="6" s="1" a="1"/>
  <c r="AJ47" i="6" s="1"/>
  <c r="AK45" i="6"/>
  <c r="AL44" i="6"/>
  <c r="V418" i="6"/>
  <c r="W417" i="6" s="1"/>
  <c r="X416" i="6"/>
  <c r="W419" i="6"/>
  <c r="W420" i="6"/>
  <c r="V421" i="6"/>
  <c r="AE403" i="6"/>
  <c r="AA373" i="6"/>
  <c r="AB372" i="6" s="1"/>
  <c r="AE406" i="6"/>
  <c r="AD391" i="6"/>
  <c r="AE389" i="6"/>
  <c r="AE390" i="6"/>
  <c r="AD388" i="6"/>
  <c r="AE387" i="6" s="1"/>
  <c r="AA376" i="6"/>
  <c r="AC371" i="6"/>
  <c r="AB375" i="6"/>
  <c r="AB374" i="6"/>
  <c r="Z346" i="6"/>
  <c r="AA345" i="6"/>
  <c r="AB341" i="6"/>
  <c r="AA344" i="6"/>
  <c r="Z343" i="6"/>
  <c r="AA342" i="6" s="1"/>
  <c r="X326" i="6"/>
  <c r="X296" i="6"/>
  <c r="AB376" i="6" l="1"/>
  <c r="AJ48" i="6" a="1"/>
  <c r="AJ48" i="6" s="1"/>
  <c r="AJ49" i="6" s="1"/>
  <c r="AL45" i="6"/>
  <c r="AM44" i="6"/>
  <c r="AK46" i="6" a="1"/>
  <c r="AK46" i="6" s="1"/>
  <c r="AK47" i="6" s="1" a="1"/>
  <c r="AK47" i="6" s="1"/>
  <c r="W418" i="6"/>
  <c r="X417" i="6" s="1"/>
  <c r="W421" i="6"/>
  <c r="Y416" i="6"/>
  <c r="X419" i="6"/>
  <c r="X420" i="6"/>
  <c r="AE388" i="6"/>
  <c r="AE391" i="6"/>
  <c r="AA343" i="6"/>
  <c r="AB342" i="6" s="1"/>
  <c r="AD371" i="6"/>
  <c r="AC374" i="6"/>
  <c r="AC375" i="6"/>
  <c r="AB373" i="6"/>
  <c r="AC372" i="6" s="1"/>
  <c r="AA346" i="6"/>
  <c r="AC341" i="6"/>
  <c r="AB344" i="6"/>
  <c r="AB345" i="6"/>
  <c r="Y326" i="6"/>
  <c r="Y296" i="6"/>
  <c r="AK48" i="6" l="1" a="1"/>
  <c r="AK48" i="6" s="1"/>
  <c r="AK49" i="6" s="1"/>
  <c r="AM45" i="6"/>
  <c r="AN44" i="6"/>
  <c r="AL46" i="6" a="1"/>
  <c r="AL46" i="6" s="1"/>
  <c r="AL47" i="6" s="1" a="1"/>
  <c r="AL47" i="6" s="1"/>
  <c r="X421" i="6"/>
  <c r="Y420" i="6"/>
  <c r="Z416" i="6"/>
  <c r="Y419" i="6"/>
  <c r="Y421" i="6" s="1"/>
  <c r="X418" i="6"/>
  <c r="Y417" i="6" s="1"/>
  <c r="AC373" i="6"/>
  <c r="AD372" i="6" s="1"/>
  <c r="AC376" i="6"/>
  <c r="AE371" i="6"/>
  <c r="AD375" i="6"/>
  <c r="AD374" i="6"/>
  <c r="AB346" i="6"/>
  <c r="AD341" i="6"/>
  <c r="AC344" i="6"/>
  <c r="AC345" i="6"/>
  <c r="AB343" i="6"/>
  <c r="AC342" i="6" s="1"/>
  <c r="Z326" i="6"/>
  <c r="Z296" i="6"/>
  <c r="AD376" i="6" l="1"/>
  <c r="AL48" i="6" a="1"/>
  <c r="AL48" i="6" s="1"/>
  <c r="AL49" i="6" s="1"/>
  <c r="AN45" i="6"/>
  <c r="AO44" i="6"/>
  <c r="AO45" i="6" s="1"/>
  <c r="AM46" i="6" a="1"/>
  <c r="AM46" i="6" s="1"/>
  <c r="AM47" i="6" s="1" a="1"/>
  <c r="AM47" i="6" s="1"/>
  <c r="Y418" i="6"/>
  <c r="Z417" i="6" s="1"/>
  <c r="AC343" i="6"/>
  <c r="AD342" i="6" s="1"/>
  <c r="Z420" i="6"/>
  <c r="AA416" i="6"/>
  <c r="Z419" i="6"/>
  <c r="AE375" i="6"/>
  <c r="AE374" i="6"/>
  <c r="AD373" i="6"/>
  <c r="AE372" i="6" s="1"/>
  <c r="AC346" i="6"/>
  <c r="AE341" i="6"/>
  <c r="AD345" i="6"/>
  <c r="AD344" i="6"/>
  <c r="AA326" i="6"/>
  <c r="AA296" i="6"/>
  <c r="AM48" i="6" l="1" a="1"/>
  <c r="AM48" i="6" s="1"/>
  <c r="AM49" i="6" s="1"/>
  <c r="AN46" i="6" a="1"/>
  <c r="AN46" i="6" s="1"/>
  <c r="AN47" i="6" s="1" a="1"/>
  <c r="AN47" i="6" s="1"/>
  <c r="AO46" i="6" a="1"/>
  <c r="AO46" i="6" s="1"/>
  <c r="AO47" i="6" s="1" a="1"/>
  <c r="AO47" i="6" s="1"/>
  <c r="AD346" i="6"/>
  <c r="Z421" i="6"/>
  <c r="AA419" i="6"/>
  <c r="AA420" i="6"/>
  <c r="AB416" i="6"/>
  <c r="Z418" i="6"/>
  <c r="AA417" i="6" s="1"/>
  <c r="AE376" i="6"/>
  <c r="AE373" i="6"/>
  <c r="AE345" i="6"/>
  <c r="AE344" i="6"/>
  <c r="AD343" i="6"/>
  <c r="AE342" i="6" s="1"/>
  <c r="AB326" i="6"/>
  <c r="AB296" i="6"/>
  <c r="AA418" i="6" l="1"/>
  <c r="AB417" i="6" s="1"/>
  <c r="AN48" i="6" a="1"/>
  <c r="AN48" i="6" s="1"/>
  <c r="AN49" i="6" s="1"/>
  <c r="AO48" i="6" a="1"/>
  <c r="AO48" i="6" s="1"/>
  <c r="AO49" i="6" s="1"/>
  <c r="AC416" i="6"/>
  <c r="AB420" i="6"/>
  <c r="AB419" i="6"/>
  <c r="AA421" i="6"/>
  <c r="AE343" i="6"/>
  <c r="AE346" i="6"/>
  <c r="AC326" i="6"/>
  <c r="AC296" i="6"/>
  <c r="AB421" i="6" l="1"/>
  <c r="AD416" i="6"/>
  <c r="AC420" i="6"/>
  <c r="AC419" i="6"/>
  <c r="AB418" i="6"/>
  <c r="AC417" i="6" s="1"/>
  <c r="AD326" i="6"/>
  <c r="AD296" i="6"/>
  <c r="AC418" i="6" l="1"/>
  <c r="AD417" i="6" s="1"/>
  <c r="AC421" i="6"/>
  <c r="AE416" i="6"/>
  <c r="AD420" i="6"/>
  <c r="AD419" i="6"/>
  <c r="AE326" i="6"/>
  <c r="AE296" i="6"/>
  <c r="AD421" i="6" l="1"/>
  <c r="AE419" i="6"/>
  <c r="AE420" i="6"/>
  <c r="AD418" i="6"/>
  <c r="AE417" i="6" s="1"/>
  <c r="AE418" i="6" l="1"/>
  <c r="AE421" i="6"/>
  <c r="B122" i="6" l="1"/>
  <c r="B121" i="6"/>
  <c r="B120" i="6"/>
  <c r="A117" i="6"/>
  <c r="B119" i="6"/>
  <c r="B127" i="6" s="1"/>
  <c r="C126" i="6"/>
  <c r="D126" i="6" s="1"/>
  <c r="A100" i="6"/>
  <c r="B105" i="6"/>
  <c r="B104" i="6"/>
  <c r="B103" i="6"/>
  <c r="B102" i="6"/>
  <c r="B110" i="6" s="1"/>
  <c r="C109" i="6"/>
  <c r="B88" i="6"/>
  <c r="B87" i="6"/>
  <c r="B86" i="6"/>
  <c r="B85" i="6"/>
  <c r="B93" i="6" s="1"/>
  <c r="A83" i="6"/>
  <c r="C92" i="6"/>
  <c r="D92" i="6" s="1"/>
  <c r="B123" i="6" l="1"/>
  <c r="B124" i="6" s="1"/>
  <c r="C128" i="6"/>
  <c r="D127" i="6" s="1"/>
  <c r="D129" i="6" s="1"/>
  <c r="C130" i="6"/>
  <c r="B106" i="6"/>
  <c r="B107" i="6" s="1"/>
  <c r="E126" i="6"/>
  <c r="E130" i="6" s="1"/>
  <c r="D128" i="6"/>
  <c r="E127" i="6" s="1"/>
  <c r="B89" i="6"/>
  <c r="B94" i="6" s="1"/>
  <c r="C93" i="6" s="1"/>
  <c r="C95" i="6" s="1"/>
  <c r="D130" i="6"/>
  <c r="C113" i="6"/>
  <c r="C111" i="6"/>
  <c r="D110" i="6" s="1"/>
  <c r="D109" i="6"/>
  <c r="D113" i="6" s="1"/>
  <c r="E92" i="6"/>
  <c r="C94" i="6" l="1"/>
  <c r="D93" i="6" s="1"/>
  <c r="D95" i="6" s="1"/>
  <c r="E94" i="6"/>
  <c r="F93" i="6" s="1"/>
  <c r="D94" i="6"/>
  <c r="E93" i="6" s="1"/>
  <c r="E95" i="6" s="1"/>
  <c r="B95" i="6"/>
  <c r="B128" i="6"/>
  <c r="B129" i="6" s="1"/>
  <c r="B130" i="6" s="1"/>
  <c r="B111" i="6"/>
  <c r="C110" i="6" s="1"/>
  <c r="C112" i="6" s="1"/>
  <c r="C114" i="6" s="1"/>
  <c r="E128" i="6"/>
  <c r="F127" i="6" s="1"/>
  <c r="B90" i="6"/>
  <c r="C96" i="6" s="1"/>
  <c r="D111" i="6"/>
  <c r="E110" i="6" s="1"/>
  <c r="D112" i="6"/>
  <c r="D114" i="6" s="1"/>
  <c r="D131" i="6"/>
  <c r="E129" i="6"/>
  <c r="E131" i="6" s="1"/>
  <c r="F126" i="6"/>
  <c r="E109" i="6"/>
  <c r="F92" i="6"/>
  <c r="D96" i="6" l="1"/>
  <c r="D97" i="6" s="1"/>
  <c r="E17" i="5" s="1"/>
  <c r="E96" i="6"/>
  <c r="C127" i="6"/>
  <c r="C129" i="6" s="1"/>
  <c r="C131" i="6" s="1"/>
  <c r="B112" i="6"/>
  <c r="B113" i="6" s="1"/>
  <c r="B114" i="6" s="1"/>
  <c r="B96" i="6"/>
  <c r="B97" i="6" s="1"/>
  <c r="F96" i="6"/>
  <c r="F94" i="6"/>
  <c r="G93" i="6" s="1"/>
  <c r="F95" i="6"/>
  <c r="E112" i="6"/>
  <c r="E111" i="6"/>
  <c r="F110" i="6" s="1"/>
  <c r="G126" i="6"/>
  <c r="F130" i="6"/>
  <c r="F129" i="6"/>
  <c r="F128" i="6"/>
  <c r="G127" i="6" s="1"/>
  <c r="B131" i="6"/>
  <c r="E113" i="6"/>
  <c r="F109" i="6"/>
  <c r="G92" i="6"/>
  <c r="C17" i="5" l="1"/>
  <c r="B70" i="4"/>
  <c r="F131" i="6"/>
  <c r="G94" i="6"/>
  <c r="H93" i="6" s="1"/>
  <c r="G95" i="6"/>
  <c r="G96" i="6"/>
  <c r="H126" i="6"/>
  <c r="G130" i="6"/>
  <c r="G129" i="6"/>
  <c r="G128" i="6"/>
  <c r="H127" i="6" s="1"/>
  <c r="E114" i="6"/>
  <c r="F113" i="6"/>
  <c r="F111" i="6"/>
  <c r="G110" i="6" s="1"/>
  <c r="G109" i="6"/>
  <c r="F112" i="6"/>
  <c r="H92" i="6"/>
  <c r="G131" i="6" l="1"/>
  <c r="H95" i="6"/>
  <c r="H94" i="6"/>
  <c r="I93" i="6" s="1"/>
  <c r="H96" i="6"/>
  <c r="I126" i="6"/>
  <c r="H130" i="6"/>
  <c r="H129" i="6"/>
  <c r="H128" i="6"/>
  <c r="I127" i="6" s="1"/>
  <c r="F114" i="6"/>
  <c r="G113" i="6"/>
  <c r="G111" i="6"/>
  <c r="H110" i="6" s="1"/>
  <c r="H109" i="6"/>
  <c r="G112" i="6"/>
  <c r="I92" i="6"/>
  <c r="G114" i="6" l="1"/>
  <c r="H131" i="6"/>
  <c r="I95" i="6"/>
  <c r="I96" i="6"/>
  <c r="I94" i="6"/>
  <c r="J93" i="6" s="1"/>
  <c r="J126" i="6"/>
  <c r="I128" i="6"/>
  <c r="J127" i="6" s="1"/>
  <c r="I130" i="6"/>
  <c r="I129" i="6"/>
  <c r="I109" i="6"/>
  <c r="H112" i="6"/>
  <c r="H111" i="6"/>
  <c r="I110" i="6" s="1"/>
  <c r="H113" i="6"/>
  <c r="J92" i="6"/>
  <c r="I131" i="6" l="1"/>
  <c r="K126" i="6"/>
  <c r="K128" i="6" s="1"/>
  <c r="J129" i="6"/>
  <c r="J130" i="6"/>
  <c r="J128" i="6"/>
  <c r="K127" i="6" s="1"/>
  <c r="J94" i="6"/>
  <c r="K93" i="6" s="1"/>
  <c r="J95" i="6"/>
  <c r="J96" i="6"/>
  <c r="J109" i="6"/>
  <c r="I111" i="6"/>
  <c r="J110" i="6" s="1"/>
  <c r="I112" i="6"/>
  <c r="I113" i="6"/>
  <c r="H114" i="6"/>
  <c r="K92" i="6"/>
  <c r="J112" i="6" l="1"/>
  <c r="J131" i="6"/>
  <c r="L126" i="6"/>
  <c r="K129" i="6"/>
  <c r="K130" i="6"/>
  <c r="L127" i="6"/>
  <c r="K96" i="6"/>
  <c r="K95" i="6"/>
  <c r="K94" i="6"/>
  <c r="L93" i="6" s="1"/>
  <c r="I114" i="6"/>
  <c r="K109" i="6"/>
  <c r="J113" i="6"/>
  <c r="J111" i="6"/>
  <c r="K110" i="6" s="1"/>
  <c r="L92" i="6"/>
  <c r="K131" i="6" l="1"/>
  <c r="L96" i="6"/>
  <c r="L95" i="6"/>
  <c r="L94" i="6"/>
  <c r="M93" i="6" s="1"/>
  <c r="M126" i="6"/>
  <c r="L129" i="6"/>
  <c r="L128" i="6"/>
  <c r="M127" i="6" s="1"/>
  <c r="L130" i="6"/>
  <c r="J114" i="6"/>
  <c r="L109" i="6"/>
  <c r="K112" i="6"/>
  <c r="K113" i="6"/>
  <c r="K111" i="6"/>
  <c r="L110" i="6" s="1"/>
  <c r="M92" i="6"/>
  <c r="L113" i="6" l="1"/>
  <c r="L112" i="6"/>
  <c r="L131" i="6"/>
  <c r="N126" i="6"/>
  <c r="M130" i="6"/>
  <c r="M128" i="6"/>
  <c r="N127" i="6" s="1"/>
  <c r="M129" i="6"/>
  <c r="M96" i="6"/>
  <c r="M95" i="6"/>
  <c r="M94" i="6"/>
  <c r="N93" i="6" s="1"/>
  <c r="K114" i="6"/>
  <c r="M109" i="6"/>
  <c r="L111" i="6"/>
  <c r="M110" i="6" s="1"/>
  <c r="N92" i="6"/>
  <c r="M131" i="6" l="1"/>
  <c r="L114" i="6"/>
  <c r="O126" i="6"/>
  <c r="N130" i="6"/>
  <c r="N129" i="6"/>
  <c r="N128" i="6"/>
  <c r="O127" i="6" s="1"/>
  <c r="N95" i="6"/>
  <c r="N94" i="6"/>
  <c r="O93" i="6" s="1"/>
  <c r="N96" i="6"/>
  <c r="M113" i="6"/>
  <c r="N109" i="6"/>
  <c r="M111" i="6"/>
  <c r="N110" i="6" s="1"/>
  <c r="M112" i="6"/>
  <c r="O92" i="6"/>
  <c r="N131" i="6" l="1"/>
  <c r="O95" i="6"/>
  <c r="O94" i="6"/>
  <c r="P93" i="6" s="1"/>
  <c r="O96" i="6"/>
  <c r="P126" i="6"/>
  <c r="O128" i="6"/>
  <c r="P127" i="6" s="1"/>
  <c r="O129" i="6"/>
  <c r="O130" i="6"/>
  <c r="M114" i="6"/>
  <c r="N111" i="6"/>
  <c r="O110" i="6" s="1"/>
  <c r="N113" i="6"/>
  <c r="O109" i="6"/>
  <c r="N112" i="6"/>
  <c r="P92" i="6"/>
  <c r="N114" i="6" l="1"/>
  <c r="O131" i="6"/>
  <c r="P128" i="6"/>
  <c r="Q127" i="6" s="1"/>
  <c r="Q126" i="6"/>
  <c r="P130" i="6"/>
  <c r="P129" i="6"/>
  <c r="P95" i="6"/>
  <c r="P96" i="6"/>
  <c r="P94" i="6"/>
  <c r="Q93" i="6" s="1"/>
  <c r="O111" i="6"/>
  <c r="P110" i="6" s="1"/>
  <c r="O113" i="6"/>
  <c r="P109" i="6"/>
  <c r="O112" i="6"/>
  <c r="Q92" i="6"/>
  <c r="P131" i="6" l="1"/>
  <c r="O114" i="6"/>
  <c r="Q128" i="6"/>
  <c r="R127" i="6" s="1"/>
  <c r="R126" i="6"/>
  <c r="Q129" i="6"/>
  <c r="Q130" i="6"/>
  <c r="Q96" i="6"/>
  <c r="Q94" i="6"/>
  <c r="R93" i="6" s="1"/>
  <c r="Q95" i="6"/>
  <c r="Q109" i="6"/>
  <c r="P112" i="6"/>
  <c r="P113" i="6"/>
  <c r="P111" i="6"/>
  <c r="Q110" i="6" s="1"/>
  <c r="R92" i="6"/>
  <c r="Q131" i="6" l="1"/>
  <c r="S126" i="6"/>
  <c r="R130" i="6"/>
  <c r="R128" i="6"/>
  <c r="S127" i="6" s="1"/>
  <c r="R129" i="6"/>
  <c r="R94" i="6"/>
  <c r="S93" i="6" s="1"/>
  <c r="R95" i="6"/>
  <c r="R96" i="6"/>
  <c r="P114" i="6"/>
  <c r="Q113" i="6"/>
  <c r="Q112" i="6"/>
  <c r="R109" i="6"/>
  <c r="Q111" i="6"/>
  <c r="R110" i="6" s="1"/>
  <c r="S92" i="6"/>
  <c r="Q114" i="6" l="1"/>
  <c r="R131" i="6"/>
  <c r="S95" i="6"/>
  <c r="S96" i="6"/>
  <c r="S94" i="6"/>
  <c r="T93" i="6" s="1"/>
  <c r="T126" i="6"/>
  <c r="S130" i="6"/>
  <c r="S128" i="6"/>
  <c r="T127" i="6" s="1"/>
  <c r="S129" i="6"/>
  <c r="R113" i="6"/>
  <c r="R112" i="6"/>
  <c r="R111" i="6"/>
  <c r="S110" i="6" s="1"/>
  <c r="S109" i="6"/>
  <c r="T92" i="6"/>
  <c r="S131" i="6" l="1"/>
  <c r="U126" i="6"/>
  <c r="T130" i="6"/>
  <c r="T128" i="6"/>
  <c r="U127" i="6" s="1"/>
  <c r="T129" i="6"/>
  <c r="T96" i="6"/>
  <c r="T95" i="6"/>
  <c r="T94" i="6"/>
  <c r="U93" i="6" s="1"/>
  <c r="S113" i="6"/>
  <c r="S112" i="6"/>
  <c r="S111" i="6"/>
  <c r="T110" i="6" s="1"/>
  <c r="T109" i="6"/>
  <c r="R114" i="6"/>
  <c r="U92" i="6"/>
  <c r="S114" i="6" l="1"/>
  <c r="T131" i="6"/>
  <c r="U95" i="6"/>
  <c r="U96" i="6"/>
  <c r="U94" i="6"/>
  <c r="V93" i="6" s="1"/>
  <c r="V126" i="6"/>
  <c r="U128" i="6"/>
  <c r="V127" i="6" s="1"/>
  <c r="U130" i="6"/>
  <c r="U129" i="6"/>
  <c r="U109" i="6"/>
  <c r="T111" i="6"/>
  <c r="U110" i="6" s="1"/>
  <c r="T112" i="6"/>
  <c r="T113" i="6"/>
  <c r="V92" i="6"/>
  <c r="U131" i="6" l="1"/>
  <c r="W126" i="6"/>
  <c r="V128" i="6"/>
  <c r="W127" i="6" s="1"/>
  <c r="V129" i="6"/>
  <c r="V130" i="6"/>
  <c r="V96" i="6"/>
  <c r="V94" i="6"/>
  <c r="W93" i="6" s="1"/>
  <c r="V95" i="6"/>
  <c r="T114" i="6"/>
  <c r="V109" i="6"/>
  <c r="U111" i="6"/>
  <c r="V110" i="6" s="1"/>
  <c r="U112" i="6"/>
  <c r="U113" i="6"/>
  <c r="W92" i="6"/>
  <c r="V131" i="6" l="1"/>
  <c r="W95" i="6"/>
  <c r="W96" i="6"/>
  <c r="W94" i="6"/>
  <c r="X93" i="6" s="1"/>
  <c r="W129" i="6"/>
  <c r="X126" i="6"/>
  <c r="W130" i="6"/>
  <c r="W128" i="6"/>
  <c r="X127" i="6" s="1"/>
  <c r="U114" i="6"/>
  <c r="W109" i="6"/>
  <c r="V112" i="6"/>
  <c r="V111" i="6"/>
  <c r="W110" i="6" s="1"/>
  <c r="V113" i="6"/>
  <c r="X92" i="6"/>
  <c r="X129" i="6" l="1"/>
  <c r="Y126" i="6"/>
  <c r="X128" i="6"/>
  <c r="Y127" i="6" s="1"/>
  <c r="X130" i="6"/>
  <c r="W131" i="6"/>
  <c r="X94" i="6"/>
  <c r="Y93" i="6" s="1"/>
  <c r="X95" i="6"/>
  <c r="X96" i="6"/>
  <c r="V114" i="6"/>
  <c r="X109" i="6"/>
  <c r="W112" i="6"/>
  <c r="W111" i="6"/>
  <c r="X110" i="6" s="1"/>
  <c r="W113" i="6"/>
  <c r="Y92" i="6"/>
  <c r="Y96" i="6" l="1"/>
  <c r="Y94" i="6"/>
  <c r="Z93" i="6" s="1"/>
  <c r="Y95" i="6"/>
  <c r="Z126" i="6"/>
  <c r="Y129" i="6"/>
  <c r="Y128" i="6"/>
  <c r="Z127" i="6" s="1"/>
  <c r="Y130" i="6"/>
  <c r="X131" i="6"/>
  <c r="W114" i="6"/>
  <c r="Y109" i="6"/>
  <c r="X113" i="6"/>
  <c r="X111" i="6"/>
  <c r="Y110" i="6" s="1"/>
  <c r="X112" i="6"/>
  <c r="Z92" i="6"/>
  <c r="Y131" i="6" l="1"/>
  <c r="AA126" i="6"/>
  <c r="Z129" i="6"/>
  <c r="Z130" i="6"/>
  <c r="Z128" i="6"/>
  <c r="AA127" i="6" s="1"/>
  <c r="Z94" i="6"/>
  <c r="AA93" i="6" s="1"/>
  <c r="Z96" i="6"/>
  <c r="Z95" i="6"/>
  <c r="X114" i="6"/>
  <c r="Z109" i="6"/>
  <c r="Y113" i="6"/>
  <c r="Y111" i="6"/>
  <c r="Z110" i="6" s="1"/>
  <c r="Y112" i="6"/>
  <c r="AA92" i="6"/>
  <c r="AA96" i="6" l="1"/>
  <c r="AA95" i="6"/>
  <c r="AA94" i="6"/>
  <c r="AB93" i="6" s="1"/>
  <c r="Z131" i="6"/>
  <c r="AB126" i="6"/>
  <c r="AA129" i="6"/>
  <c r="AA130" i="6"/>
  <c r="AA128" i="6"/>
  <c r="AB127" i="6" s="1"/>
  <c r="Y114" i="6"/>
  <c r="Z111" i="6"/>
  <c r="AA110" i="6" s="1"/>
  <c r="AA109" i="6"/>
  <c r="Z113" i="6"/>
  <c r="Z112" i="6"/>
  <c r="AB92" i="6"/>
  <c r="AA131" i="6" l="1"/>
  <c r="AC126" i="6"/>
  <c r="AB129" i="6"/>
  <c r="AB130" i="6"/>
  <c r="AB128" i="6"/>
  <c r="AC127" i="6" s="1"/>
  <c r="AB95" i="6"/>
  <c r="AB94" i="6"/>
  <c r="AC93" i="6" s="1"/>
  <c r="AB96" i="6"/>
  <c r="Z114" i="6"/>
  <c r="AA111" i="6"/>
  <c r="AB110" i="6" s="1"/>
  <c r="AB109" i="6"/>
  <c r="AA112" i="6"/>
  <c r="AA113" i="6"/>
  <c r="AC92" i="6"/>
  <c r="AC94" i="6" l="1"/>
  <c r="AD93" i="6" s="1"/>
  <c r="AC96" i="6"/>
  <c r="AC95" i="6"/>
  <c r="AB131" i="6"/>
  <c r="AC129" i="6"/>
  <c r="AD126" i="6"/>
  <c r="AC128" i="6"/>
  <c r="AD127" i="6" s="1"/>
  <c r="AC130" i="6"/>
  <c r="AA114" i="6"/>
  <c r="AB113" i="6"/>
  <c r="AC109" i="6"/>
  <c r="AB112" i="6"/>
  <c r="AB111" i="6"/>
  <c r="AC110" i="6" s="1"/>
  <c r="AD92" i="6"/>
  <c r="AB114" i="6" l="1"/>
  <c r="AE126" i="6"/>
  <c r="AD128" i="6"/>
  <c r="AE127" i="6" s="1"/>
  <c r="AD129" i="6"/>
  <c r="AD130" i="6"/>
  <c r="AC131" i="6"/>
  <c r="AD95" i="6"/>
  <c r="AD96" i="6"/>
  <c r="AD94" i="6"/>
  <c r="AE93" i="6" s="1"/>
  <c r="AC113" i="6"/>
  <c r="AD109" i="6"/>
  <c r="AC112" i="6"/>
  <c r="AC111" i="6"/>
  <c r="AD110" i="6" s="1"/>
  <c r="AE92" i="6"/>
  <c r="AD131" i="6" l="1"/>
  <c r="AE96" i="6"/>
  <c r="AE95" i="6"/>
  <c r="AE94" i="6"/>
  <c r="AF93" i="6" s="1"/>
  <c r="AF126" i="6"/>
  <c r="AE130" i="6"/>
  <c r="AE128" i="6"/>
  <c r="AF127" i="6" s="1"/>
  <c r="AE129" i="6"/>
  <c r="AC114" i="6"/>
  <c r="AD113" i="6"/>
  <c r="AE109" i="6"/>
  <c r="AD112" i="6"/>
  <c r="AD111" i="6"/>
  <c r="AE110" i="6" s="1"/>
  <c r="AF92" i="6"/>
  <c r="AE131" i="6" l="1"/>
  <c r="AG126" i="6"/>
  <c r="AF130" i="6"/>
  <c r="AF128" i="6"/>
  <c r="AG127" i="6" s="1"/>
  <c r="AF129" i="6"/>
  <c r="AF94" i="6"/>
  <c r="AG93" i="6" s="1"/>
  <c r="AF96" i="6"/>
  <c r="AF95" i="6"/>
  <c r="AD114" i="6"/>
  <c r="AE113" i="6"/>
  <c r="AF109" i="6"/>
  <c r="AE112" i="6"/>
  <c r="AE111" i="6"/>
  <c r="AF110" i="6" s="1"/>
  <c r="AG92" i="6"/>
  <c r="AF131" i="6" l="1"/>
  <c r="AG95" i="6"/>
  <c r="AG94" i="6"/>
  <c r="AH93" i="6" s="1"/>
  <c r="AG96" i="6"/>
  <c r="AG130" i="6"/>
  <c r="AH126" i="6"/>
  <c r="AG129" i="6"/>
  <c r="AG131" i="6" s="1"/>
  <c r="AG128" i="6"/>
  <c r="AH127" i="6" s="1"/>
  <c r="AE114" i="6"/>
  <c r="AF112" i="6"/>
  <c r="AF111" i="6"/>
  <c r="AG110" i="6" s="1"/>
  <c r="AG109" i="6"/>
  <c r="AF113" i="6"/>
  <c r="AH92" i="6"/>
  <c r="AI126" i="6" l="1"/>
  <c r="AH130" i="6"/>
  <c r="AH128" i="6"/>
  <c r="AI127" i="6" s="1"/>
  <c r="AH129" i="6"/>
  <c r="AH95" i="6"/>
  <c r="AH94" i="6"/>
  <c r="AI93" i="6" s="1"/>
  <c r="AH96" i="6"/>
  <c r="AF114" i="6"/>
  <c r="AH109" i="6"/>
  <c r="AG112" i="6"/>
  <c r="AG111" i="6"/>
  <c r="AH110" i="6" s="1"/>
  <c r="AG113" i="6"/>
  <c r="AI92" i="6"/>
  <c r="AH131" i="6" l="1"/>
  <c r="AI96" i="6"/>
  <c r="AI94" i="6"/>
  <c r="AJ93" i="6" s="1"/>
  <c r="AI95" i="6"/>
  <c r="AJ126" i="6"/>
  <c r="AI130" i="6"/>
  <c r="AI129" i="6"/>
  <c r="AI128" i="6"/>
  <c r="AJ127" i="6" s="1"/>
  <c r="AG114" i="6"/>
  <c r="AI109" i="6"/>
  <c r="AH112" i="6"/>
  <c r="AH113" i="6"/>
  <c r="AH111" i="6"/>
  <c r="AI110" i="6" s="1"/>
  <c r="AJ92" i="6"/>
  <c r="AI131" i="6" l="1"/>
  <c r="AK126" i="6"/>
  <c r="AJ130" i="6"/>
  <c r="AJ129" i="6"/>
  <c r="AJ128" i="6"/>
  <c r="AK127" i="6" s="1"/>
  <c r="AJ96" i="6"/>
  <c r="AJ94" i="6"/>
  <c r="AK93" i="6" s="1"/>
  <c r="AJ95" i="6"/>
  <c r="AH114" i="6"/>
  <c r="AJ109" i="6"/>
  <c r="AI112" i="6"/>
  <c r="AI113" i="6"/>
  <c r="AI111" i="6"/>
  <c r="AJ110" i="6" s="1"/>
  <c r="AK92" i="6"/>
  <c r="AJ131" i="6" l="1"/>
  <c r="AK95" i="6"/>
  <c r="AK94" i="6"/>
  <c r="AL93" i="6" s="1"/>
  <c r="AK96" i="6"/>
  <c r="AL126" i="6"/>
  <c r="AK130" i="6"/>
  <c r="AK128" i="6"/>
  <c r="AL127" i="6" s="1"/>
  <c r="AK129" i="6"/>
  <c r="AI114" i="6"/>
  <c r="AK109" i="6"/>
  <c r="AJ113" i="6"/>
  <c r="AJ111" i="6"/>
  <c r="AK110" i="6" s="1"/>
  <c r="AJ112" i="6"/>
  <c r="AL92" i="6"/>
  <c r="AJ114" i="6" l="1"/>
  <c r="AK131" i="6"/>
  <c r="AL128" i="6"/>
  <c r="AM127" i="6" s="1"/>
  <c r="AM126" i="6"/>
  <c r="AL129" i="6"/>
  <c r="AL130" i="6"/>
  <c r="AL95" i="6"/>
  <c r="AL94" i="6"/>
  <c r="AM93" i="6" s="1"/>
  <c r="AL96" i="6"/>
  <c r="AK113" i="6"/>
  <c r="AK111" i="6"/>
  <c r="AL110" i="6" s="1"/>
  <c r="AL109" i="6"/>
  <c r="AK112" i="6"/>
  <c r="AM92" i="6"/>
  <c r="AL131" i="6" l="1"/>
  <c r="AM128" i="6"/>
  <c r="AN127" i="6" s="1"/>
  <c r="AN126" i="6"/>
  <c r="AM129" i="6"/>
  <c r="AM130" i="6"/>
  <c r="AM95" i="6"/>
  <c r="AM94" i="6"/>
  <c r="AN93" i="6" s="1"/>
  <c r="AM96" i="6"/>
  <c r="AK114" i="6"/>
  <c r="AL111" i="6"/>
  <c r="AM110" i="6" s="1"/>
  <c r="AL112" i="6"/>
  <c r="AM109" i="6"/>
  <c r="AL113" i="6"/>
  <c r="AN92" i="6"/>
  <c r="AM131" i="6" l="1"/>
  <c r="AN96" i="6"/>
  <c r="AN95" i="6"/>
  <c r="AN94" i="6"/>
  <c r="AO93" i="6" s="1"/>
  <c r="AO126" i="6"/>
  <c r="AN128" i="6"/>
  <c r="AO127" i="6" s="1"/>
  <c r="AN130" i="6"/>
  <c r="AN129" i="6"/>
  <c r="AM111" i="6"/>
  <c r="AN110" i="6" s="1"/>
  <c r="AM112" i="6"/>
  <c r="AM113" i="6"/>
  <c r="AN109" i="6"/>
  <c r="AL114" i="6"/>
  <c r="AO92" i="6"/>
  <c r="AN131" i="6" l="1"/>
  <c r="AO129" i="6"/>
  <c r="AO130" i="6"/>
  <c r="AO128" i="6"/>
  <c r="AO96" i="6"/>
  <c r="AO94" i="6"/>
  <c r="AO95" i="6"/>
  <c r="AM114" i="6"/>
  <c r="AN113" i="6"/>
  <c r="AO109" i="6"/>
  <c r="AN112" i="6"/>
  <c r="AN111" i="6"/>
  <c r="AO110" i="6" s="1"/>
  <c r="AO131" i="6" l="1"/>
  <c r="AN114" i="6"/>
  <c r="AO113" i="6"/>
  <c r="AO112" i="6"/>
  <c r="AO111" i="6"/>
  <c r="AO114" i="6" l="1"/>
  <c r="C39" i="1" l="1"/>
  <c r="C40" i="1"/>
  <c r="C41" i="1"/>
  <c r="C42" i="1"/>
  <c r="C43" i="1"/>
  <c r="C44" i="1"/>
  <c r="C45" i="1"/>
  <c r="C26" i="1"/>
  <c r="C27" i="1"/>
  <c r="C28" i="1"/>
  <c r="C38" i="1"/>
  <c r="C53" i="1"/>
  <c r="B208" i="6"/>
  <c r="C33" i="4"/>
  <c r="C35" i="4"/>
  <c r="F17" i="3"/>
  <c r="F18" i="3"/>
  <c r="F19" i="3"/>
  <c r="F16" i="3"/>
  <c r="E16" i="3"/>
  <c r="E17" i="3"/>
  <c r="E18" i="3"/>
  <c r="E19" i="3"/>
  <c r="E6" i="3"/>
  <c r="D17" i="3"/>
  <c r="D18" i="3"/>
  <c r="D19" i="3"/>
  <c r="G20" i="3"/>
  <c r="D16" i="3"/>
  <c r="C17" i="3"/>
  <c r="C18" i="3"/>
  <c r="C19" i="3"/>
  <c r="C16" i="3"/>
  <c r="C6" i="3"/>
  <c r="Q65" i="18"/>
  <c r="Q58" i="18"/>
  <c r="Q59" i="18"/>
  <c r="Q60" i="18"/>
  <c r="Q61" i="18"/>
  <c r="Q62" i="18"/>
  <c r="Q63" i="18"/>
  <c r="Q64" i="18"/>
  <c r="O58" i="18"/>
  <c r="O59" i="18"/>
  <c r="O60" i="18"/>
  <c r="O61" i="18"/>
  <c r="O62" i="18"/>
  <c r="O63" i="18"/>
  <c r="O64" i="18"/>
  <c r="O65" i="18"/>
  <c r="M58" i="18"/>
  <c r="M59" i="18"/>
  <c r="M60" i="18"/>
  <c r="M61" i="18"/>
  <c r="M62" i="18"/>
  <c r="M63" i="18"/>
  <c r="M64" i="18"/>
  <c r="M65" i="18"/>
  <c r="K58" i="18"/>
  <c r="K59" i="18"/>
  <c r="K60" i="18"/>
  <c r="K61" i="18"/>
  <c r="K62" i="18"/>
  <c r="K63" i="18"/>
  <c r="K64" i="18"/>
  <c r="K65" i="18"/>
  <c r="I58" i="18"/>
  <c r="I59" i="18"/>
  <c r="I60" i="18"/>
  <c r="I61" i="18"/>
  <c r="I62" i="18"/>
  <c r="I63" i="18"/>
  <c r="I64" i="18"/>
  <c r="I65" i="18"/>
  <c r="G65" i="18"/>
  <c r="G64" i="18"/>
  <c r="G63" i="18"/>
  <c r="G62" i="18"/>
  <c r="G61" i="18"/>
  <c r="G60" i="18"/>
  <c r="G59" i="18"/>
  <c r="G58" i="18"/>
  <c r="G78" i="18"/>
  <c r="E78" i="18" s="1"/>
  <c r="G79" i="18"/>
  <c r="E79" i="18" s="1"/>
  <c r="G80" i="18"/>
  <c r="E80" i="18" s="1"/>
  <c r="G81" i="18"/>
  <c r="E81" i="18" s="1"/>
  <c r="G82" i="18"/>
  <c r="E82" i="18" s="1"/>
  <c r="I78" i="18"/>
  <c r="I79" i="18"/>
  <c r="I80" i="18"/>
  <c r="I81" i="18"/>
  <c r="I82" i="18"/>
  <c r="K78" i="18"/>
  <c r="K79" i="18"/>
  <c r="K80" i="18"/>
  <c r="K81" i="18"/>
  <c r="K82" i="18"/>
  <c r="M78" i="18"/>
  <c r="M79" i="18"/>
  <c r="M80" i="18"/>
  <c r="M81" i="18"/>
  <c r="M82" i="18"/>
  <c r="O78" i="18"/>
  <c r="O79" i="18"/>
  <c r="O80" i="18"/>
  <c r="O81" i="18"/>
  <c r="O82" i="18"/>
  <c r="Q78" i="18"/>
  <c r="Q79" i="18"/>
  <c r="Q80" i="18"/>
  <c r="Q81" i="18"/>
  <c r="Q82" i="18"/>
  <c r="S78" i="18"/>
  <c r="S79" i="18"/>
  <c r="S80" i="18"/>
  <c r="S81" i="18"/>
  <c r="S82" i="18"/>
  <c r="U78" i="18"/>
  <c r="U79" i="18"/>
  <c r="U80" i="18"/>
  <c r="U81" i="18"/>
  <c r="U82" i="18"/>
  <c r="W78" i="18"/>
  <c r="W79" i="18"/>
  <c r="W80" i="18"/>
  <c r="W81" i="18"/>
  <c r="W82" i="18"/>
  <c r="Y78" i="18"/>
  <c r="Y79" i="18"/>
  <c r="Y80" i="18"/>
  <c r="Y81" i="18"/>
  <c r="Y82" i="18"/>
  <c r="G16" i="3" l="1"/>
  <c r="G19" i="3"/>
  <c r="G18" i="3"/>
  <c r="G17" i="3"/>
  <c r="B216" i="6"/>
  <c r="Y58" i="18" l="1"/>
  <c r="Y59" i="18"/>
  <c r="Y60" i="18"/>
  <c r="Y61" i="18"/>
  <c r="Y62" i="18"/>
  <c r="Y63" i="18"/>
  <c r="Y64" i="18"/>
  <c r="Y65" i="18"/>
  <c r="W58" i="18"/>
  <c r="W59" i="18"/>
  <c r="W60" i="18"/>
  <c r="W61" i="18"/>
  <c r="W62" i="18"/>
  <c r="W63" i="18"/>
  <c r="W64" i="18"/>
  <c r="W65" i="18"/>
  <c r="I49" i="18"/>
  <c r="I50" i="18"/>
  <c r="I51" i="18"/>
  <c r="I52" i="18"/>
  <c r="K49" i="18"/>
  <c r="K50" i="18"/>
  <c r="K51" i="18"/>
  <c r="K52" i="18"/>
  <c r="M49" i="18"/>
  <c r="M50" i="18"/>
  <c r="M51" i="18"/>
  <c r="M52" i="18"/>
  <c r="O49" i="18"/>
  <c r="O50" i="18"/>
  <c r="O51" i="18"/>
  <c r="O52" i="18"/>
  <c r="Q49" i="18"/>
  <c r="Q50" i="18"/>
  <c r="Q51" i="18"/>
  <c r="Q52" i="18"/>
  <c r="S49" i="18"/>
  <c r="S50" i="18"/>
  <c r="S51" i="18"/>
  <c r="S52" i="18"/>
  <c r="U49" i="18"/>
  <c r="U50" i="18"/>
  <c r="U51" i="18"/>
  <c r="U52" i="18"/>
  <c r="W49" i="18"/>
  <c r="W50" i="18"/>
  <c r="W51" i="18"/>
  <c r="W52" i="18"/>
  <c r="Y49" i="18"/>
  <c r="Y50" i="18"/>
  <c r="Y51" i="18"/>
  <c r="Y52" i="18"/>
  <c r="G49" i="18"/>
  <c r="G50" i="18"/>
  <c r="G51" i="18"/>
  <c r="G52" i="18"/>
  <c r="E52" i="18" l="1"/>
  <c r="E51" i="18"/>
  <c r="E50" i="18"/>
  <c r="E49" i="18"/>
  <c r="E64" i="18"/>
  <c r="Y27" i="18"/>
  <c r="Y28" i="18"/>
  <c r="Y29" i="18"/>
  <c r="Y30" i="18"/>
  <c r="Y31" i="18"/>
  <c r="Y32" i="18"/>
  <c r="W27" i="18"/>
  <c r="W28" i="18"/>
  <c r="W29" i="18"/>
  <c r="W30" i="18"/>
  <c r="W31" i="18"/>
  <c r="W32" i="18"/>
  <c r="U27" i="18"/>
  <c r="U28" i="18"/>
  <c r="U29" i="18"/>
  <c r="U30" i="18"/>
  <c r="U31" i="18"/>
  <c r="U32" i="18"/>
  <c r="S27" i="18"/>
  <c r="S28" i="18"/>
  <c r="S29" i="18"/>
  <c r="S30" i="18"/>
  <c r="S31" i="18"/>
  <c r="S32" i="18"/>
  <c r="Q26" i="18"/>
  <c r="Q27" i="18"/>
  <c r="Q28" i="18"/>
  <c r="Q29" i="18"/>
  <c r="Q30" i="18"/>
  <c r="Q31" i="18"/>
  <c r="Q32" i="18"/>
  <c r="P9" i="18"/>
  <c r="P10" i="18"/>
  <c r="P11" i="18"/>
  <c r="P12" i="18"/>
  <c r="N9" i="18"/>
  <c r="N10" i="18"/>
  <c r="N11" i="18"/>
  <c r="N12" i="18"/>
  <c r="L9" i="18"/>
  <c r="L10" i="18"/>
  <c r="L11" i="18"/>
  <c r="L12" i="18"/>
  <c r="H9" i="18"/>
  <c r="H10" i="18"/>
  <c r="H11" i="18"/>
  <c r="H12" i="18"/>
  <c r="X10" i="18"/>
  <c r="X11" i="18"/>
  <c r="X12" i="18"/>
  <c r="V10" i="18"/>
  <c r="V11" i="18"/>
  <c r="V12" i="18"/>
  <c r="T9" i="18"/>
  <c r="T10" i="18"/>
  <c r="T11" i="18"/>
  <c r="T12" i="18"/>
  <c r="R9" i="18"/>
  <c r="R10" i="18"/>
  <c r="R11" i="18"/>
  <c r="R12" i="18"/>
  <c r="J10" i="18"/>
  <c r="J11" i="18"/>
  <c r="J12" i="18"/>
  <c r="O27" i="18"/>
  <c r="O28" i="18"/>
  <c r="O29" i="18"/>
  <c r="O30" i="18"/>
  <c r="O31" i="18"/>
  <c r="O32" i="18"/>
  <c r="M27" i="18"/>
  <c r="M28" i="18"/>
  <c r="M29" i="18"/>
  <c r="M30" i="18"/>
  <c r="M31" i="18"/>
  <c r="M32" i="18"/>
  <c r="K27" i="18"/>
  <c r="K28" i="18"/>
  <c r="K29" i="18"/>
  <c r="K30" i="18"/>
  <c r="K31" i="18"/>
  <c r="K32" i="18"/>
  <c r="I27" i="18"/>
  <c r="I28" i="18"/>
  <c r="I29" i="18"/>
  <c r="I30" i="18"/>
  <c r="I31" i="18"/>
  <c r="I32" i="18"/>
  <c r="G27" i="18"/>
  <c r="E27" i="18" s="1"/>
  <c r="G28" i="18"/>
  <c r="G29" i="18"/>
  <c r="G30" i="18"/>
  <c r="G31" i="18"/>
  <c r="G32" i="18"/>
  <c r="F9" i="18"/>
  <c r="F10" i="18"/>
  <c r="F11" i="18"/>
  <c r="F12" i="18"/>
  <c r="D12" i="18" l="1"/>
  <c r="D11" i="18"/>
  <c r="D10" i="18"/>
  <c r="E32" i="18"/>
  <c r="E31" i="18"/>
  <c r="E30" i="18"/>
  <c r="E29" i="18"/>
  <c r="E28" i="18"/>
  <c r="Y55" i="18"/>
  <c r="Y57" i="18"/>
  <c r="Y37" i="18"/>
  <c r="Y38" i="18"/>
  <c r="Y39" i="18"/>
  <c r="Y40" i="18"/>
  <c r="Y41" i="18"/>
  <c r="Y42" i="18"/>
  <c r="Y43" i="18"/>
  <c r="Y44" i="18"/>
  <c r="Y45" i="18"/>
  <c r="Y46" i="18"/>
  <c r="Y47" i="18"/>
  <c r="Y48" i="18"/>
  <c r="W46" i="18"/>
  <c r="W55" i="18"/>
  <c r="W57" i="18"/>
  <c r="W37" i="18"/>
  <c r="W38" i="18"/>
  <c r="W39" i="18"/>
  <c r="W40" i="18"/>
  <c r="W41" i="18"/>
  <c r="W42" i="18"/>
  <c r="W43" i="18"/>
  <c r="W44" i="18"/>
  <c r="W45" i="18"/>
  <c r="W47" i="18"/>
  <c r="W48" i="18"/>
  <c r="U55" i="18"/>
  <c r="U57" i="18"/>
  <c r="U37" i="18"/>
  <c r="U38" i="18"/>
  <c r="U39" i="18"/>
  <c r="U40" i="18"/>
  <c r="U41" i="18"/>
  <c r="U42" i="18"/>
  <c r="U43" i="18"/>
  <c r="U44" i="18"/>
  <c r="U45" i="18"/>
  <c r="U46" i="18"/>
  <c r="U47" i="18"/>
  <c r="U48" i="18"/>
  <c r="S55" i="18"/>
  <c r="S57" i="18"/>
  <c r="S37" i="18"/>
  <c r="S38" i="18"/>
  <c r="S39" i="18"/>
  <c r="S40" i="18"/>
  <c r="S41" i="18"/>
  <c r="S42" i="18"/>
  <c r="S43" i="18"/>
  <c r="S44" i="18"/>
  <c r="S45" i="18"/>
  <c r="S46" i="18"/>
  <c r="S47" i="18"/>
  <c r="S48" i="18"/>
  <c r="Q55" i="18"/>
  <c r="Q57" i="18"/>
  <c r="Q37" i="18"/>
  <c r="Q38" i="18"/>
  <c r="Q39" i="18"/>
  <c r="Q40" i="18"/>
  <c r="Q41" i="18"/>
  <c r="Q42" i="18"/>
  <c r="Q43" i="18"/>
  <c r="Q44" i="18"/>
  <c r="Q45" i="18"/>
  <c r="Q46" i="18"/>
  <c r="Q47" i="18"/>
  <c r="Q48" i="18"/>
  <c r="O55" i="18"/>
  <c r="O57" i="18"/>
  <c r="O37" i="18"/>
  <c r="O38" i="18"/>
  <c r="O39" i="18"/>
  <c r="O40" i="18"/>
  <c r="O41" i="18"/>
  <c r="O42" i="18"/>
  <c r="O43" i="18"/>
  <c r="O44" i="18"/>
  <c r="O45" i="18"/>
  <c r="O46" i="18"/>
  <c r="O47" i="18"/>
  <c r="O48" i="18"/>
  <c r="M55" i="18"/>
  <c r="M57" i="18"/>
  <c r="M37" i="18"/>
  <c r="M38" i="18"/>
  <c r="M39" i="18"/>
  <c r="M40" i="18"/>
  <c r="M41" i="18"/>
  <c r="M42" i="18"/>
  <c r="M43" i="18"/>
  <c r="M44" i="18"/>
  <c r="M45" i="18"/>
  <c r="M46" i="18"/>
  <c r="M47" i="18"/>
  <c r="M48" i="18"/>
  <c r="K55" i="18"/>
  <c r="K57" i="18"/>
  <c r="K37" i="18"/>
  <c r="K38" i="18"/>
  <c r="K39" i="18"/>
  <c r="K40" i="18"/>
  <c r="K41" i="18"/>
  <c r="K42" i="18"/>
  <c r="K43" i="18"/>
  <c r="K44" i="18"/>
  <c r="K45" i="18"/>
  <c r="K46" i="18"/>
  <c r="K47" i="18"/>
  <c r="K48" i="18"/>
  <c r="I57" i="18"/>
  <c r="I55" i="18"/>
  <c r="I37" i="18"/>
  <c r="I38" i="18"/>
  <c r="I39" i="18"/>
  <c r="I40" i="18"/>
  <c r="I41" i="18"/>
  <c r="I42" i="18"/>
  <c r="I43" i="18"/>
  <c r="I44" i="18"/>
  <c r="I45" i="18"/>
  <c r="I46" i="18"/>
  <c r="I47" i="18"/>
  <c r="I48" i="18"/>
  <c r="I36" i="18"/>
  <c r="G55" i="18"/>
  <c r="G57" i="18"/>
  <c r="G38" i="18"/>
  <c r="G39" i="18"/>
  <c r="G40" i="18"/>
  <c r="G41" i="18"/>
  <c r="G42" i="18"/>
  <c r="E42" i="18" s="1"/>
  <c r="G43" i="18"/>
  <c r="E43" i="18" s="1"/>
  <c r="G44" i="18"/>
  <c r="G45" i="18"/>
  <c r="G46" i="18"/>
  <c r="G47" i="18"/>
  <c r="G48" i="18"/>
  <c r="G37" i="18"/>
  <c r="G36" i="18"/>
  <c r="C37" i="17"/>
  <c r="B67" i="18"/>
  <c r="C17" i="2"/>
  <c r="C18" i="2"/>
  <c r="F75" i="17"/>
  <c r="F66" i="17"/>
  <c r="E66" i="17"/>
  <c r="D66" i="17"/>
  <c r="C74" i="17"/>
  <c r="C73" i="17"/>
  <c r="C72" i="17"/>
  <c r="C71" i="17"/>
  <c r="C70" i="17"/>
  <c r="C69" i="17"/>
  <c r="C68" i="17"/>
  <c r="C47" i="17"/>
  <c r="C47" i="2" s="1"/>
  <c r="C38" i="17"/>
  <c r="C38" i="2" s="1"/>
  <c r="C39" i="17"/>
  <c r="C39" i="2" s="1"/>
  <c r="C40" i="17"/>
  <c r="C40" i="2" s="1"/>
  <c r="C41" i="17"/>
  <c r="C41" i="2" s="1"/>
  <c r="AT41" i="2" s="1"/>
  <c r="C42" i="17"/>
  <c r="C42" i="2" s="1"/>
  <c r="C43" i="17"/>
  <c r="C43" i="2" s="1"/>
  <c r="C44" i="17"/>
  <c r="C44" i="2" s="1"/>
  <c r="C45" i="17"/>
  <c r="C45" i="2" s="1"/>
  <c r="C46" i="17"/>
  <c r="C46" i="2" s="1"/>
  <c r="C48" i="17"/>
  <c r="C48" i="2" s="1"/>
  <c r="C49" i="17"/>
  <c r="C49" i="2" s="1"/>
  <c r="C50" i="17"/>
  <c r="C50" i="2" s="1"/>
  <c r="C51" i="17"/>
  <c r="C51" i="2" s="1"/>
  <c r="C52" i="17"/>
  <c r="C52" i="2" s="1"/>
  <c r="C53" i="17"/>
  <c r="C53" i="2" s="1"/>
  <c r="AT53" i="2" s="1"/>
  <c r="C54" i="17"/>
  <c r="C54" i="2" s="1"/>
  <c r="C55" i="17"/>
  <c r="C55" i="2" s="1"/>
  <c r="C56" i="17"/>
  <c r="C56" i="2" s="1"/>
  <c r="C57" i="17"/>
  <c r="C58" i="17"/>
  <c r="C59" i="17"/>
  <c r="C59" i="2" s="1"/>
  <c r="C60" i="17"/>
  <c r="C60" i="2" s="1"/>
  <c r="C61" i="17"/>
  <c r="C61" i="2" s="1"/>
  <c r="C62" i="17"/>
  <c r="C62" i="2" s="1"/>
  <c r="C63" i="17"/>
  <c r="C63" i="2" s="1"/>
  <c r="AT63" i="2" s="1"/>
  <c r="C64" i="17"/>
  <c r="C64" i="2" s="1"/>
  <c r="C65" i="17"/>
  <c r="C65" i="2" s="1"/>
  <c r="C28" i="17"/>
  <c r="C33" i="17" s="1"/>
  <c r="C34" i="17" s="1"/>
  <c r="C29" i="17"/>
  <c r="C30" i="17"/>
  <c r="C31" i="17"/>
  <c r="C32" i="17"/>
  <c r="D7" i="3"/>
  <c r="C57" i="2"/>
  <c r="C58" i="2"/>
  <c r="B65" i="2"/>
  <c r="B65" i="7" s="1"/>
  <c r="B64" i="2"/>
  <c r="B64" i="7" s="1"/>
  <c r="B63" i="2"/>
  <c r="B63" i="7" s="1"/>
  <c r="B62" i="2"/>
  <c r="B62" i="7" s="1"/>
  <c r="B61" i="2"/>
  <c r="B61" i="7" s="1"/>
  <c r="B60" i="2"/>
  <c r="B60" i="7" s="1"/>
  <c r="B59" i="2"/>
  <c r="B59" i="7" s="1"/>
  <c r="B58" i="2"/>
  <c r="B58" i="7" s="1"/>
  <c r="B57" i="2"/>
  <c r="B57" i="7" s="1"/>
  <c r="B56" i="2"/>
  <c r="B56" i="7" s="1"/>
  <c r="B55" i="2"/>
  <c r="B55" i="7" s="1"/>
  <c r="B54" i="2"/>
  <c r="B54" i="7" s="1"/>
  <c r="B53" i="2"/>
  <c r="B53" i="7" s="1"/>
  <c r="B52" i="2"/>
  <c r="B52" i="7" s="1"/>
  <c r="B51" i="2"/>
  <c r="B51" i="7" s="1"/>
  <c r="B50" i="2"/>
  <c r="B50" i="7" s="1"/>
  <c r="B49" i="2"/>
  <c r="B49" i="7" s="1"/>
  <c r="B48" i="2"/>
  <c r="B48" i="7" s="1"/>
  <c r="B47" i="2"/>
  <c r="B47" i="7" s="1"/>
  <c r="B46" i="2"/>
  <c r="B46" i="7" s="1"/>
  <c r="B45" i="2"/>
  <c r="B45" i="7" s="1"/>
  <c r="B44" i="2"/>
  <c r="B44" i="7" s="1"/>
  <c r="B43" i="2"/>
  <c r="B43" i="7" s="1"/>
  <c r="B42" i="2"/>
  <c r="B42" i="7" s="1"/>
  <c r="B41" i="2"/>
  <c r="B41" i="7" s="1"/>
  <c r="B40" i="2"/>
  <c r="B40" i="7" s="1"/>
  <c r="B39" i="2"/>
  <c r="B39" i="7" s="1"/>
  <c r="B38" i="2"/>
  <c r="B38" i="7" s="1"/>
  <c r="B37" i="2"/>
  <c r="B37" i="7" s="1"/>
  <c r="D39" i="7" l="1"/>
  <c r="AT39" i="2"/>
  <c r="D38" i="7"/>
  <c r="AT38" i="2"/>
  <c r="D62" i="7"/>
  <c r="AH62" i="7" s="1"/>
  <c r="AT62" i="2"/>
  <c r="D54" i="7"/>
  <c r="AT54" i="2"/>
  <c r="D47" i="7"/>
  <c r="AT47" i="2"/>
  <c r="D61" i="7"/>
  <c r="AH61" i="7" s="1"/>
  <c r="AT61" i="2"/>
  <c r="D44" i="7"/>
  <c r="AT44" i="2"/>
  <c r="D56" i="7"/>
  <c r="AH56" i="7" s="1"/>
  <c r="AT56" i="2"/>
  <c r="D60" i="7"/>
  <c r="AH60" i="7" s="1"/>
  <c r="AT60" i="2"/>
  <c r="D52" i="7"/>
  <c r="AT52" i="2"/>
  <c r="D43" i="7"/>
  <c r="AT43" i="2"/>
  <c r="D46" i="7"/>
  <c r="AT46" i="2"/>
  <c r="D59" i="7"/>
  <c r="AH59" i="7" s="1"/>
  <c r="AT59" i="2"/>
  <c r="D51" i="7"/>
  <c r="AT51" i="2"/>
  <c r="D42" i="7"/>
  <c r="AT42" i="2"/>
  <c r="D57" i="7"/>
  <c r="AH57" i="7" s="1"/>
  <c r="AT57" i="2"/>
  <c r="D64" i="7"/>
  <c r="AH64" i="7" s="1"/>
  <c r="AT64" i="2"/>
  <c r="D48" i="7"/>
  <c r="AT48" i="2"/>
  <c r="D55" i="7"/>
  <c r="AT55" i="2"/>
  <c r="D45" i="7"/>
  <c r="AT45" i="2"/>
  <c r="D50" i="7"/>
  <c r="AT50" i="2"/>
  <c r="D58" i="7"/>
  <c r="AH58" i="7" s="1"/>
  <c r="AT58" i="2"/>
  <c r="D65" i="7"/>
  <c r="AH65" i="7" s="1"/>
  <c r="AT65" i="2"/>
  <c r="D49" i="7"/>
  <c r="AT49" i="2"/>
  <c r="D40" i="7"/>
  <c r="AT40" i="2"/>
  <c r="E38" i="18"/>
  <c r="E40" i="18"/>
  <c r="E57" i="18"/>
  <c r="E41" i="18"/>
  <c r="E39" i="18"/>
  <c r="E37" i="18"/>
  <c r="E48" i="18"/>
  <c r="E55" i="18"/>
  <c r="E47" i="18"/>
  <c r="E46" i="18"/>
  <c r="E45" i="18"/>
  <c r="E44" i="18"/>
  <c r="D20" i="7"/>
  <c r="AT18" i="2"/>
  <c r="D19" i="7"/>
  <c r="AT17" i="2"/>
  <c r="B48" i="18"/>
  <c r="B55" i="18"/>
  <c r="B54" i="18"/>
  <c r="B43" i="18"/>
  <c r="C60" i="18"/>
  <c r="Z60" i="18" s="1"/>
  <c r="B47" i="18"/>
  <c r="B65" i="18"/>
  <c r="B64" i="18"/>
  <c r="B63" i="18"/>
  <c r="C47" i="18"/>
  <c r="B59" i="18"/>
  <c r="B57" i="18"/>
  <c r="B45" i="18"/>
  <c r="C44" i="18"/>
  <c r="B56" i="18"/>
  <c r="B44" i="18"/>
  <c r="B62" i="18"/>
  <c r="C38" i="18"/>
  <c r="B46" i="18"/>
  <c r="C41" i="18"/>
  <c r="D41" i="7"/>
  <c r="B61" i="18"/>
  <c r="B42" i="18"/>
  <c r="B60" i="18"/>
  <c r="C46" i="18"/>
  <c r="C53" i="18"/>
  <c r="D53" i="7"/>
  <c r="B53" i="18"/>
  <c r="B41" i="18"/>
  <c r="C62" i="18"/>
  <c r="B52" i="18"/>
  <c r="B40" i="18"/>
  <c r="B51" i="18"/>
  <c r="B39" i="18"/>
  <c r="C50" i="18"/>
  <c r="AA50" i="18" s="1"/>
  <c r="B50" i="18"/>
  <c r="C49" i="18"/>
  <c r="B58" i="18"/>
  <c r="C45" i="18"/>
  <c r="C63" i="18"/>
  <c r="D63" i="7"/>
  <c r="AH63" i="7" s="1"/>
  <c r="B38" i="18"/>
  <c r="B49" i="18"/>
  <c r="B37" i="18"/>
  <c r="C48" i="18"/>
  <c r="C40" i="18"/>
  <c r="C64" i="18"/>
  <c r="C52" i="18"/>
  <c r="C39" i="18"/>
  <c r="C51" i="18"/>
  <c r="C61" i="18"/>
  <c r="C59" i="18"/>
  <c r="C56" i="18"/>
  <c r="C43" i="18"/>
  <c r="C55" i="18"/>
  <c r="C42" i="18"/>
  <c r="C54" i="18"/>
  <c r="C57" i="18"/>
  <c r="C58" i="18"/>
  <c r="C65" i="18"/>
  <c r="C93" i="17"/>
  <c r="C37" i="2"/>
  <c r="D37" i="7" l="1"/>
  <c r="AT37" i="2"/>
  <c r="AE60" i="18"/>
  <c r="AA60" i="18"/>
  <c r="AE55" i="18"/>
  <c r="AA55" i="18"/>
  <c r="Z55" i="18"/>
  <c r="Z59" i="18"/>
  <c r="AA59" i="18"/>
  <c r="AE59" i="18"/>
  <c r="AE63" i="18"/>
  <c r="Z63" i="18"/>
  <c r="AA63" i="18"/>
  <c r="Z61" i="18"/>
  <c r="AA61" i="18"/>
  <c r="AE61" i="18"/>
  <c r="Z62" i="18"/>
  <c r="AA62" i="18"/>
  <c r="AE62" i="18"/>
  <c r="AE65" i="18"/>
  <c r="Z65" i="18"/>
  <c r="AA65" i="18"/>
  <c r="AA49" i="18"/>
  <c r="Z49" i="18"/>
  <c r="AA58" i="18"/>
  <c r="AE58" i="18"/>
  <c r="Z58" i="18"/>
  <c r="Z52" i="18"/>
  <c r="AA52" i="18"/>
  <c r="AE57" i="18"/>
  <c r="AA57" i="18"/>
  <c r="Z57" i="18"/>
  <c r="AE64" i="18"/>
  <c r="Z64" i="18"/>
  <c r="AA64" i="18"/>
  <c r="AA48" i="18"/>
  <c r="Z48" i="18"/>
  <c r="C37" i="18"/>
  <c r="F13" i="17" l="1"/>
  <c r="E13" i="17"/>
  <c r="D13" i="17"/>
  <c r="C25" i="17" l="1"/>
  <c r="C21" i="19"/>
  <c r="AM7" i="9"/>
  <c r="X101" i="9"/>
  <c r="Y101" i="9"/>
  <c r="Z101" i="9"/>
  <c r="AA101" i="9"/>
  <c r="AB101" i="9"/>
  <c r="AC101" i="9"/>
  <c r="AD101" i="9"/>
  <c r="AE101" i="9"/>
  <c r="AF101" i="9"/>
  <c r="AG101" i="9"/>
  <c r="AH101" i="9"/>
  <c r="AJ101" i="9"/>
  <c r="AK101" i="9"/>
  <c r="W101" i="9"/>
  <c r="V101" i="9"/>
  <c r="R101" i="9"/>
  <c r="O101" i="9"/>
  <c r="P101" i="9"/>
  <c r="B101" i="9"/>
  <c r="M101" i="9"/>
  <c r="L101" i="9"/>
  <c r="K101" i="9"/>
  <c r="I101" i="9"/>
  <c r="H101" i="9"/>
  <c r="F101" i="9"/>
  <c r="E101" i="9"/>
  <c r="D101" i="9"/>
  <c r="C101" i="9"/>
  <c r="G101" i="9"/>
  <c r="G35" i="3"/>
  <c r="E28" i="19"/>
  <c r="D40" i="19"/>
  <c r="B40" i="19"/>
  <c r="D39" i="19"/>
  <c r="B39" i="19"/>
  <c r="D38" i="19"/>
  <c r="B38" i="19"/>
  <c r="D37" i="19"/>
  <c r="B37" i="19"/>
  <c r="D36" i="19"/>
  <c r="B36" i="19"/>
  <c r="D35" i="19"/>
  <c r="B35" i="19"/>
  <c r="D34" i="19"/>
  <c r="B34" i="19"/>
  <c r="G32" i="19"/>
  <c r="E30" i="19"/>
  <c r="G30" i="19" s="1"/>
  <c r="F22" i="19"/>
  <c r="C22" i="19" s="1"/>
  <c r="E32" i="19"/>
  <c r="B23" i="19"/>
  <c r="B16" i="19"/>
  <c r="C32" i="19"/>
  <c r="E24" i="19" a="1"/>
  <c r="E24" i="19" s="1"/>
  <c r="E23" i="19" a="1"/>
  <c r="E23" i="19" s="1"/>
  <c r="E21" i="19"/>
  <c r="E20" i="19"/>
  <c r="C23" i="19"/>
  <c r="C19" i="19"/>
  <c r="C20" i="19" s="1"/>
  <c r="C15" i="19"/>
  <c r="C3" i="19"/>
  <c r="E3" i="19"/>
  <c r="E3" i="24" l="1"/>
  <c r="C6" i="5"/>
  <c r="C25" i="19"/>
  <c r="C24" i="19"/>
  <c r="G28" i="19"/>
  <c r="AD89" i="7" l="1"/>
  <c r="AD131" i="7" s="1"/>
  <c r="AD167" i="7" s="1"/>
  <c r="AE89" i="7"/>
  <c r="AE131" i="7" s="1"/>
  <c r="AE167" i="7" s="1"/>
  <c r="AF89" i="7"/>
  <c r="AF131" i="7" s="1"/>
  <c r="AF167" i="7" s="1"/>
  <c r="AC89" i="7"/>
  <c r="AC131" i="7" s="1"/>
  <c r="AC167" i="7" s="1"/>
  <c r="C33" i="20" l="1"/>
  <c r="A33" i="20" s="1"/>
  <c r="B33" i="20"/>
  <c r="S89" i="7"/>
  <c r="S131" i="7" s="1"/>
  <c r="S167" i="7" s="1"/>
  <c r="T89" i="7"/>
  <c r="T131" i="7" s="1"/>
  <c r="T167" i="7" s="1"/>
  <c r="U89" i="7"/>
  <c r="U131" i="7" s="1"/>
  <c r="U167" i="7" s="1"/>
  <c r="V89" i="7"/>
  <c r="V131" i="7" s="1"/>
  <c r="V167" i="7" s="1"/>
  <c r="W89" i="7"/>
  <c r="W131" i="7" s="1"/>
  <c r="W167" i="7" s="1"/>
  <c r="X89" i="7"/>
  <c r="X131" i="7" s="1"/>
  <c r="X167" i="7" s="1"/>
  <c r="Y89" i="7"/>
  <c r="Y131" i="7" s="1"/>
  <c r="Y167" i="7" s="1"/>
  <c r="Z89" i="7"/>
  <c r="Z131" i="7" s="1"/>
  <c r="Z167" i="7" s="1"/>
  <c r="AA89" i="7"/>
  <c r="AA131" i="7" s="1"/>
  <c r="AA167" i="7" s="1"/>
  <c r="AB89" i="7"/>
  <c r="AB131" i="7" s="1"/>
  <c r="AB167" i="7" s="1"/>
  <c r="R89" i="7"/>
  <c r="R131" i="7" s="1"/>
  <c r="R167" i="7" s="1"/>
  <c r="B10" i="5" l="1"/>
  <c r="H89" i="7"/>
  <c r="H131" i="7" s="1"/>
  <c r="H167" i="7" s="1"/>
  <c r="I89" i="7"/>
  <c r="I131" i="7" s="1"/>
  <c r="I167" i="7" s="1"/>
  <c r="J89" i="7"/>
  <c r="J131" i="7" s="1"/>
  <c r="J167" i="7" s="1"/>
  <c r="K89" i="7"/>
  <c r="K131" i="7" s="1"/>
  <c r="K167" i="7" s="1"/>
  <c r="L89" i="7"/>
  <c r="L131" i="7" s="1"/>
  <c r="L167" i="7" s="1"/>
  <c r="M89" i="7"/>
  <c r="M131" i="7" s="1"/>
  <c r="M167" i="7" s="1"/>
  <c r="N89" i="7"/>
  <c r="N131" i="7" s="1"/>
  <c r="N167" i="7" s="1"/>
  <c r="O89" i="7"/>
  <c r="O131" i="7" s="1"/>
  <c r="O167" i="7" s="1"/>
  <c r="P89" i="7"/>
  <c r="P131" i="7" s="1"/>
  <c r="P167" i="7" s="1"/>
  <c r="Q89" i="7"/>
  <c r="Q131" i="7" s="1"/>
  <c r="Q167" i="7" s="1"/>
  <c r="AH55" i="7"/>
  <c r="C71" i="4"/>
  <c r="C74" i="4"/>
  <c r="C73" i="4"/>
  <c r="C63" i="4"/>
  <c r="C64" i="4"/>
  <c r="C65" i="4"/>
  <c r="C49" i="4"/>
  <c r="C50" i="4"/>
  <c r="C51" i="4"/>
  <c r="C52" i="4"/>
  <c r="C34" i="4"/>
  <c r="C36" i="4"/>
  <c r="C37" i="4"/>
  <c r="C17" i="4"/>
  <c r="C18" i="4"/>
  <c r="C19" i="4"/>
  <c r="C20" i="4"/>
  <c r="C21" i="4"/>
  <c r="C16" i="4"/>
  <c r="AS89" i="2"/>
  <c r="AS90" i="2"/>
  <c r="AS80" i="2"/>
  <c r="AS81" i="2"/>
  <c r="AS82" i="2"/>
  <c r="AS69" i="2"/>
  <c r="AS70" i="2"/>
  <c r="AS71" i="2"/>
  <c r="AS72" i="2"/>
  <c r="AS73" i="2"/>
  <c r="AS74" i="2"/>
  <c r="AS68" i="2"/>
  <c r="AS36" i="2"/>
  <c r="AS15" i="2"/>
  <c r="AR4" i="2"/>
  <c r="AR94" i="2" s="1"/>
  <c r="AR3" i="2"/>
  <c r="AQ4" i="2"/>
  <c r="AQ94" i="2" s="1"/>
  <c r="AQ3" i="2"/>
  <c r="AP4" i="2"/>
  <c r="AP94" i="2" s="1"/>
  <c r="AP3" i="2"/>
  <c r="AO4" i="2"/>
  <c r="AO94" i="2" s="1"/>
  <c r="AO3" i="2"/>
  <c r="AN4" i="2"/>
  <c r="AN94" i="2" s="1"/>
  <c r="AN3" i="2"/>
  <c r="C46" i="1"/>
  <c r="B292" i="6"/>
  <c r="B300" i="6" s="1"/>
  <c r="B173" i="6"/>
  <c r="B190" i="6"/>
  <c r="B198" i="6" s="1"/>
  <c r="B226" i="6"/>
  <c r="B277" i="6"/>
  <c r="B285" i="6" s="1"/>
  <c r="B243" i="6"/>
  <c r="C54" i="1"/>
  <c r="C57" i="1"/>
  <c r="AB146" i="6" l="1"/>
  <c r="P146" i="6"/>
  <c r="D146" i="6"/>
  <c r="AA146" i="6"/>
  <c r="O146" i="6"/>
  <c r="C146" i="6"/>
  <c r="Z146" i="6"/>
  <c r="N146" i="6"/>
  <c r="C144" i="6"/>
  <c r="Y146" i="6"/>
  <c r="M146" i="6"/>
  <c r="X146" i="6"/>
  <c r="L146" i="6"/>
  <c r="W146" i="6"/>
  <c r="Q146" i="6"/>
  <c r="J146" i="6"/>
  <c r="I146" i="6"/>
  <c r="H146" i="6"/>
  <c r="AE146" i="6"/>
  <c r="G146" i="6"/>
  <c r="AD146" i="6"/>
  <c r="F146" i="6"/>
  <c r="AC146" i="6"/>
  <c r="E146" i="6"/>
  <c r="V146" i="6"/>
  <c r="U146" i="6"/>
  <c r="T146" i="6"/>
  <c r="S146" i="6"/>
  <c r="R146" i="6"/>
  <c r="B284" i="6"/>
  <c r="B283" i="6" s="1"/>
  <c r="B233" i="6"/>
  <c r="B251" i="6"/>
  <c r="N330" i="6"/>
  <c r="Z330" i="6"/>
  <c r="C330" i="6"/>
  <c r="O330" i="6"/>
  <c r="AA330" i="6"/>
  <c r="D330" i="6"/>
  <c r="P330" i="6"/>
  <c r="AB330" i="6"/>
  <c r="E330" i="6"/>
  <c r="Q330" i="6"/>
  <c r="AC330" i="6"/>
  <c r="U330" i="6"/>
  <c r="F330" i="6"/>
  <c r="V330" i="6"/>
  <c r="I330" i="6"/>
  <c r="AD330" i="6"/>
  <c r="AE330" i="6"/>
  <c r="L330" i="6"/>
  <c r="G330" i="6"/>
  <c r="W330" i="6"/>
  <c r="H330" i="6"/>
  <c r="Y330" i="6"/>
  <c r="B330" i="6"/>
  <c r="M330" i="6"/>
  <c r="S330" i="6"/>
  <c r="X330" i="6"/>
  <c r="K330" i="6"/>
  <c r="R330" i="6"/>
  <c r="B329" i="6"/>
  <c r="T330" i="6"/>
  <c r="C329" i="6"/>
  <c r="D329" i="6"/>
  <c r="E329" i="6"/>
  <c r="F329" i="6"/>
  <c r="G329" i="6"/>
  <c r="H329" i="6"/>
  <c r="I329" i="6"/>
  <c r="J329" i="6"/>
  <c r="K329" i="6"/>
  <c r="L329" i="6"/>
  <c r="M329" i="6"/>
  <c r="N329" i="6"/>
  <c r="O329" i="6"/>
  <c r="P329" i="6"/>
  <c r="Q329" i="6"/>
  <c r="R329" i="6"/>
  <c r="S329" i="6"/>
  <c r="T329" i="6"/>
  <c r="U329" i="6"/>
  <c r="V329" i="6"/>
  <c r="W329" i="6"/>
  <c r="X329" i="6"/>
  <c r="Y329" i="6"/>
  <c r="Z329" i="6"/>
  <c r="AA329" i="6"/>
  <c r="AB329" i="6"/>
  <c r="AC329" i="6"/>
  <c r="AD329" i="6"/>
  <c r="AE329" i="6"/>
  <c r="AB300" i="6"/>
  <c r="P300" i="6"/>
  <c r="C300" i="6"/>
  <c r="U299" i="6"/>
  <c r="I299" i="6"/>
  <c r="AA300" i="6"/>
  <c r="O300" i="6"/>
  <c r="T299" i="6"/>
  <c r="H299" i="6"/>
  <c r="Z300" i="6"/>
  <c r="N300" i="6"/>
  <c r="S299" i="6"/>
  <c r="G299" i="6"/>
  <c r="Y300" i="6"/>
  <c r="M300" i="6"/>
  <c r="AD299" i="6"/>
  <c r="R299" i="6"/>
  <c r="F299" i="6"/>
  <c r="X300" i="6"/>
  <c r="L300" i="6"/>
  <c r="AC299" i="6"/>
  <c r="Q299" i="6"/>
  <c r="D299" i="6"/>
  <c r="W300" i="6"/>
  <c r="AB299" i="6"/>
  <c r="AB301" i="6" s="1"/>
  <c r="V300" i="6"/>
  <c r="J300" i="6"/>
  <c r="B299" i="6"/>
  <c r="U300" i="6"/>
  <c r="Z299" i="6"/>
  <c r="AE300" i="6"/>
  <c r="G300" i="6"/>
  <c r="R300" i="6"/>
  <c r="Q300" i="6"/>
  <c r="J299" i="6"/>
  <c r="AE299" i="6"/>
  <c r="K300" i="6"/>
  <c r="P299" i="6"/>
  <c r="C299" i="6"/>
  <c r="E300" i="6"/>
  <c r="AA299" i="6"/>
  <c r="O299" i="6"/>
  <c r="E299" i="6"/>
  <c r="I300" i="6"/>
  <c r="N299" i="6"/>
  <c r="T300" i="6"/>
  <c r="H300" i="6"/>
  <c r="Y299" i="6"/>
  <c r="M299" i="6"/>
  <c r="S300" i="6"/>
  <c r="X299" i="6"/>
  <c r="L299" i="6"/>
  <c r="AD300" i="6"/>
  <c r="F300" i="6"/>
  <c r="W299" i="6"/>
  <c r="K299" i="6"/>
  <c r="AC300" i="6"/>
  <c r="D300" i="6"/>
  <c r="V299" i="6"/>
  <c r="B180" i="6"/>
  <c r="B163" i="6"/>
  <c r="C38" i="4"/>
  <c r="U88" i="7"/>
  <c r="T88" i="7"/>
  <c r="S88" i="7"/>
  <c r="Z88" i="7"/>
  <c r="Y88" i="7"/>
  <c r="V88" i="7"/>
  <c r="W88" i="7"/>
  <c r="AB88" i="7"/>
  <c r="X88" i="7"/>
  <c r="AA88" i="7"/>
  <c r="R88" i="7"/>
  <c r="B155" i="6"/>
  <c r="B172" i="6"/>
  <c r="B189" i="6"/>
  <c r="B207" i="6"/>
  <c r="B242" i="6"/>
  <c r="E88" i="7" l="1"/>
  <c r="P301" i="6"/>
  <c r="E301" i="6"/>
  <c r="K301" i="6"/>
  <c r="C145" i="6"/>
  <c r="D144" i="6" s="1"/>
  <c r="W301" i="6"/>
  <c r="C301" i="6"/>
  <c r="H301" i="6"/>
  <c r="F331" i="6"/>
  <c r="L331" i="6"/>
  <c r="AA301" i="6"/>
  <c r="Y331" i="6"/>
  <c r="U331" i="6"/>
  <c r="Q301" i="6"/>
  <c r="O301" i="6"/>
  <c r="B331" i="6"/>
  <c r="W331" i="6"/>
  <c r="J301" i="6"/>
  <c r="T331" i="6"/>
  <c r="G331" i="6"/>
  <c r="P331" i="6"/>
  <c r="M331" i="6"/>
  <c r="K331" i="6"/>
  <c r="N301" i="6"/>
  <c r="AE331" i="6"/>
  <c r="AC301" i="6"/>
  <c r="R331" i="6"/>
  <c r="Q331" i="6"/>
  <c r="E331" i="6"/>
  <c r="T301" i="6"/>
  <c r="X331" i="6"/>
  <c r="F301" i="6"/>
  <c r="L301" i="6"/>
  <c r="R301" i="6"/>
  <c r="AB331" i="6"/>
  <c r="V331" i="6"/>
  <c r="J331" i="6"/>
  <c r="D331" i="6"/>
  <c r="D301" i="6"/>
  <c r="B286" i="6"/>
  <c r="I301" i="6"/>
  <c r="M301" i="6"/>
  <c r="S331" i="6"/>
  <c r="AD331" i="6"/>
  <c r="Z301" i="6"/>
  <c r="AC331" i="6"/>
  <c r="X301" i="6"/>
  <c r="B301" i="6"/>
  <c r="AD301" i="6"/>
  <c r="U301" i="6"/>
  <c r="AA331" i="6"/>
  <c r="O331" i="6"/>
  <c r="I331" i="6"/>
  <c r="C331" i="6"/>
  <c r="Y301" i="6"/>
  <c r="G301" i="6"/>
  <c r="V301" i="6"/>
  <c r="AE301" i="6"/>
  <c r="S301" i="6"/>
  <c r="Z331" i="6"/>
  <c r="N331" i="6"/>
  <c r="H331" i="6"/>
  <c r="AC88" i="7"/>
  <c r="B328" i="6"/>
  <c r="B291" i="6"/>
  <c r="B290" i="6"/>
  <c r="A288" i="6"/>
  <c r="F6" i="3"/>
  <c r="F7" i="3"/>
  <c r="F9" i="3"/>
  <c r="F8" i="3"/>
  <c r="F10" i="3"/>
  <c r="C10" i="3"/>
  <c r="C7" i="3"/>
  <c r="C8" i="3"/>
  <c r="C9" i="3"/>
  <c r="E10" i="3"/>
  <c r="E9" i="3"/>
  <c r="E7" i="3"/>
  <c r="E8" i="3"/>
  <c r="C281" i="6"/>
  <c r="D10" i="3"/>
  <c r="B276" i="6"/>
  <c r="B278" i="6" s="1"/>
  <c r="B279" i="6" s="1"/>
  <c r="A273" i="6"/>
  <c r="D8" i="3"/>
  <c r="D9" i="3"/>
  <c r="F11" i="19" s="1"/>
  <c r="H8" i="18"/>
  <c r="B34" i="18"/>
  <c r="B35" i="18"/>
  <c r="B86" i="2"/>
  <c r="B86" i="18" s="1"/>
  <c r="B87" i="2"/>
  <c r="B87" i="18" s="1"/>
  <c r="B88" i="2"/>
  <c r="B88" i="18" s="1"/>
  <c r="B89" i="2"/>
  <c r="B90" i="2"/>
  <c r="B85" i="2"/>
  <c r="B78" i="2"/>
  <c r="B78" i="18" s="1"/>
  <c r="B79" i="2"/>
  <c r="B79" i="18" s="1"/>
  <c r="B80" i="2"/>
  <c r="B81" i="2"/>
  <c r="B82" i="2"/>
  <c r="B77" i="2"/>
  <c r="B69" i="2"/>
  <c r="B68" i="7" s="1"/>
  <c r="B70" i="2"/>
  <c r="B69" i="7" s="1"/>
  <c r="B71" i="2"/>
  <c r="B70" i="7" s="1"/>
  <c r="B72" i="2"/>
  <c r="B71" i="7" s="1"/>
  <c r="B73" i="2"/>
  <c r="B72" i="7" s="1"/>
  <c r="B74" i="2"/>
  <c r="B73" i="7" s="1"/>
  <c r="B68" i="2"/>
  <c r="B36" i="2"/>
  <c r="B16" i="2"/>
  <c r="B18" i="7" s="1"/>
  <c r="B17" i="2"/>
  <c r="B19" i="7" s="1"/>
  <c r="B18" i="2"/>
  <c r="B20" i="7" s="1"/>
  <c r="B19" i="2"/>
  <c r="B21" i="7" s="1"/>
  <c r="B20" i="2"/>
  <c r="B22" i="7" s="1"/>
  <c r="B21" i="2"/>
  <c r="B23" i="7" s="1"/>
  <c r="B22" i="2"/>
  <c r="B24" i="7" s="1"/>
  <c r="B23" i="2"/>
  <c r="B25" i="7" s="1"/>
  <c r="B24" i="2"/>
  <c r="B26" i="7" s="1"/>
  <c r="B25" i="2"/>
  <c r="B27" i="7" s="1"/>
  <c r="B26" i="2"/>
  <c r="B28" i="7" s="1"/>
  <c r="B27" i="2"/>
  <c r="B29" i="7" s="1"/>
  <c r="B28" i="2"/>
  <c r="B30" i="7" s="1"/>
  <c r="B29" i="2"/>
  <c r="B31" i="7" s="1"/>
  <c r="B30" i="2"/>
  <c r="B32" i="7" s="1"/>
  <c r="B31" i="2"/>
  <c r="B33" i="7" s="1"/>
  <c r="B32" i="2"/>
  <c r="B34" i="7" s="1"/>
  <c r="B15" i="2"/>
  <c r="B6" i="2"/>
  <c r="B7" i="2"/>
  <c r="B8" i="2"/>
  <c r="B9" i="2"/>
  <c r="B10" i="2"/>
  <c r="B10" i="18" s="1"/>
  <c r="B11" i="2"/>
  <c r="B12" i="2"/>
  <c r="B5" i="2"/>
  <c r="C90" i="17"/>
  <c r="C90" i="2" s="1"/>
  <c r="D91" i="17"/>
  <c r="E91" i="17"/>
  <c r="F91" i="17"/>
  <c r="G91" i="17"/>
  <c r="H91" i="17"/>
  <c r="I91" i="17"/>
  <c r="J91" i="17"/>
  <c r="K91" i="17"/>
  <c r="L91" i="17"/>
  <c r="M91" i="17"/>
  <c r="C89" i="17"/>
  <c r="E83" i="17"/>
  <c r="F83" i="17"/>
  <c r="G83" i="17"/>
  <c r="H83" i="17"/>
  <c r="I83" i="17"/>
  <c r="J83" i="17"/>
  <c r="K83" i="17"/>
  <c r="L83" i="17"/>
  <c r="M83" i="17"/>
  <c r="D83" i="17"/>
  <c r="C82" i="17"/>
  <c r="C82" i="2" s="1"/>
  <c r="C81" i="17"/>
  <c r="C81" i="2" s="1"/>
  <c r="E75" i="17"/>
  <c r="D75" i="17"/>
  <c r="G75" i="17"/>
  <c r="H75" i="17"/>
  <c r="I75" i="17"/>
  <c r="J75" i="17"/>
  <c r="K75" i="17"/>
  <c r="L75" i="17"/>
  <c r="M75" i="17"/>
  <c r="C72" i="2"/>
  <c r="D71" i="7" s="1"/>
  <c r="C74" i="2"/>
  <c r="D73" i="7" s="1"/>
  <c r="D33" i="17"/>
  <c r="G66" i="17"/>
  <c r="H66" i="17"/>
  <c r="I66" i="17"/>
  <c r="J66" i="17"/>
  <c r="K66" i="17"/>
  <c r="L66" i="17"/>
  <c r="M66" i="17"/>
  <c r="C29" i="2"/>
  <c r="C30" i="2"/>
  <c r="C31" i="2"/>
  <c r="C32" i="2"/>
  <c r="E33" i="17"/>
  <c r="F33" i="17"/>
  <c r="G33" i="17"/>
  <c r="H33" i="17"/>
  <c r="I33" i="17"/>
  <c r="J33" i="17"/>
  <c r="K33" i="17"/>
  <c r="L33" i="17"/>
  <c r="M33" i="17"/>
  <c r="C11" i="17"/>
  <c r="C11" i="18" s="1"/>
  <c r="G13" i="17"/>
  <c r="H13" i="17"/>
  <c r="I13" i="17"/>
  <c r="J13" i="17"/>
  <c r="K13" i="17"/>
  <c r="L13" i="17"/>
  <c r="M13" i="17"/>
  <c r="C12" i="17"/>
  <c r="C12" i="2" s="1"/>
  <c r="B293" i="6" l="1"/>
  <c r="B294" i="6" s="1"/>
  <c r="D34" i="7"/>
  <c r="AH34" i="7" s="1"/>
  <c r="AT32" i="2"/>
  <c r="D32" i="7"/>
  <c r="AH32" i="7" s="1"/>
  <c r="AT30" i="2"/>
  <c r="D15" i="7"/>
  <c r="AH15" i="7" s="1"/>
  <c r="AT12" i="2"/>
  <c r="D33" i="7"/>
  <c r="AH33" i="7" s="1"/>
  <c r="AT31" i="2"/>
  <c r="D31" i="7"/>
  <c r="AH31" i="7" s="1"/>
  <c r="AT29" i="2"/>
  <c r="Z11" i="18"/>
  <c r="AA11" i="18"/>
  <c r="AE11" i="18"/>
  <c r="D145" i="6"/>
  <c r="E144" i="6" s="1"/>
  <c r="B297" i="6"/>
  <c r="B298" i="6" s="1"/>
  <c r="C327" i="6"/>
  <c r="C328" i="6" s="1"/>
  <c r="D327" i="6" s="1"/>
  <c r="D328" i="6" s="1"/>
  <c r="E327" i="6" s="1"/>
  <c r="E328" i="6" s="1"/>
  <c r="F327" i="6" s="1"/>
  <c r="F328" i="6" s="1"/>
  <c r="G327" i="6" s="1"/>
  <c r="G328" i="6" s="1"/>
  <c r="H327" i="6" s="1"/>
  <c r="H328" i="6" s="1"/>
  <c r="I327" i="6" s="1"/>
  <c r="I328" i="6" s="1"/>
  <c r="J327" i="6" s="1"/>
  <c r="J328" i="6" s="1"/>
  <c r="K327" i="6" s="1"/>
  <c r="K328" i="6" s="1"/>
  <c r="L327" i="6" s="1"/>
  <c r="L328" i="6" s="1"/>
  <c r="M327" i="6" s="1"/>
  <c r="M328" i="6" s="1"/>
  <c r="N327" i="6" s="1"/>
  <c r="N328" i="6" s="1"/>
  <c r="O327" i="6" s="1"/>
  <c r="O328" i="6" s="1"/>
  <c r="P327" i="6" s="1"/>
  <c r="P328" i="6" s="1"/>
  <c r="Q327" i="6" s="1"/>
  <c r="Q328" i="6" s="1"/>
  <c r="R327" i="6" s="1"/>
  <c r="R328" i="6" s="1"/>
  <c r="S327" i="6" s="1"/>
  <c r="S328" i="6" s="1"/>
  <c r="T327" i="6" s="1"/>
  <c r="T328" i="6" s="1"/>
  <c r="U327" i="6" s="1"/>
  <c r="U328" i="6" s="1"/>
  <c r="V327" i="6" s="1"/>
  <c r="V328" i="6" s="1"/>
  <c r="W327" i="6" s="1"/>
  <c r="W328" i="6" s="1"/>
  <c r="X327" i="6" s="1"/>
  <c r="X328" i="6" s="1"/>
  <c r="Y327" i="6" s="1"/>
  <c r="Y328" i="6" s="1"/>
  <c r="Z327" i="6" s="1"/>
  <c r="Z328" i="6" s="1"/>
  <c r="AA327" i="6" s="1"/>
  <c r="AA328" i="6" s="1"/>
  <c r="AB327" i="6" s="1"/>
  <c r="AB328" i="6" s="1"/>
  <c r="AC327" i="6" s="1"/>
  <c r="AC328" i="6" s="1"/>
  <c r="AD327" i="6" s="1"/>
  <c r="AD328" i="6" s="1"/>
  <c r="AE327" i="6" s="1"/>
  <c r="AE328" i="6" s="1"/>
  <c r="C285" i="6"/>
  <c r="C284" i="6"/>
  <c r="D281" i="6"/>
  <c r="G8" i="19"/>
  <c r="G9" i="19"/>
  <c r="C21" i="3"/>
  <c r="F10" i="19"/>
  <c r="F9" i="19"/>
  <c r="F8" i="19"/>
  <c r="G10" i="3"/>
  <c r="G6" i="3"/>
  <c r="G10" i="19"/>
  <c r="G11" i="19"/>
  <c r="C32" i="18"/>
  <c r="C31" i="18"/>
  <c r="C30" i="18"/>
  <c r="C29" i="18"/>
  <c r="C74" i="18"/>
  <c r="AH73" i="7"/>
  <c r="AT74" i="2"/>
  <c r="C72" i="18"/>
  <c r="AH71" i="7"/>
  <c r="AT72" i="2"/>
  <c r="C81" i="18"/>
  <c r="AE81" i="18" s="1"/>
  <c r="D79" i="7"/>
  <c r="AH79" i="7" s="1"/>
  <c r="AT81" i="2"/>
  <c r="C82" i="18"/>
  <c r="AE82" i="18" s="1"/>
  <c r="D80" i="7"/>
  <c r="AH80" i="7" s="1"/>
  <c r="AT82" i="2"/>
  <c r="C90" i="18"/>
  <c r="D87" i="7"/>
  <c r="AH87" i="7" s="1"/>
  <c r="AT90" i="2"/>
  <c r="B12" i="18"/>
  <c r="B15" i="7"/>
  <c r="B11" i="18"/>
  <c r="B14" i="7"/>
  <c r="B32" i="18"/>
  <c r="B31" i="18"/>
  <c r="B30" i="18"/>
  <c r="B29" i="18"/>
  <c r="B74" i="18"/>
  <c r="B73" i="18"/>
  <c r="B72" i="18"/>
  <c r="B82" i="18"/>
  <c r="B80" i="7"/>
  <c r="B81" i="18"/>
  <c r="B79" i="7"/>
  <c r="B80" i="18"/>
  <c r="B78" i="7"/>
  <c r="B90" i="18"/>
  <c r="B87" i="7"/>
  <c r="B89" i="18"/>
  <c r="B86" i="7"/>
  <c r="C89" i="2"/>
  <c r="C73" i="2"/>
  <c r="D72" i="7" s="1"/>
  <c r="C11" i="2"/>
  <c r="C12" i="18"/>
  <c r="C11" i="3"/>
  <c r="D92" i="17"/>
  <c r="D34" i="17"/>
  <c r="Z29" i="18" l="1"/>
  <c r="AE29" i="18"/>
  <c r="AA29" i="18"/>
  <c r="Z30" i="18"/>
  <c r="AE30" i="18"/>
  <c r="AA30" i="18"/>
  <c r="Z31" i="18"/>
  <c r="AE31" i="18"/>
  <c r="AA31" i="18"/>
  <c r="Z32" i="18"/>
  <c r="AE32" i="18"/>
  <c r="AA32" i="18"/>
  <c r="D14" i="7"/>
  <c r="AH14" i="7" s="1"/>
  <c r="AT11" i="2"/>
  <c r="AE12" i="18"/>
  <c r="Z12" i="18"/>
  <c r="AA12" i="18"/>
  <c r="AA82" i="18"/>
  <c r="Z82" i="18"/>
  <c r="AA81" i="18"/>
  <c r="Z81" i="18"/>
  <c r="E145" i="6"/>
  <c r="F144" i="6" s="1"/>
  <c r="C297" i="6"/>
  <c r="C298" i="6" s="1"/>
  <c r="D297" i="6" s="1"/>
  <c r="D298" i="6" s="1"/>
  <c r="E297" i="6" s="1"/>
  <c r="E298" i="6" s="1"/>
  <c r="F297" i="6" s="1"/>
  <c r="F298" i="6" s="1"/>
  <c r="G297" i="6" s="1"/>
  <c r="G298" i="6" s="1"/>
  <c r="H297" i="6" s="1"/>
  <c r="H298" i="6" s="1"/>
  <c r="I297" i="6" s="1"/>
  <c r="I298" i="6" s="1"/>
  <c r="J297" i="6" s="1"/>
  <c r="J298" i="6" s="1"/>
  <c r="K297" i="6" s="1"/>
  <c r="K298" i="6" s="1"/>
  <c r="L297" i="6" s="1"/>
  <c r="L298" i="6" s="1"/>
  <c r="M297" i="6" s="1"/>
  <c r="M298" i="6" s="1"/>
  <c r="N297" i="6" s="1"/>
  <c r="N298" i="6" s="1"/>
  <c r="O297" i="6" s="1"/>
  <c r="O298" i="6" s="1"/>
  <c r="P297" i="6" s="1"/>
  <c r="P298" i="6" s="1"/>
  <c r="Q297" i="6" s="1"/>
  <c r="Q298" i="6" s="1"/>
  <c r="R297" i="6" s="1"/>
  <c r="R298" i="6" s="1"/>
  <c r="S297" i="6" s="1"/>
  <c r="S298" i="6" s="1"/>
  <c r="T297" i="6" s="1"/>
  <c r="T298" i="6" s="1"/>
  <c r="U297" i="6" s="1"/>
  <c r="U298" i="6" s="1"/>
  <c r="V297" i="6" s="1"/>
  <c r="V298" i="6" s="1"/>
  <c r="W297" i="6" s="1"/>
  <c r="W298" i="6" s="1"/>
  <c r="X297" i="6" s="1"/>
  <c r="X298" i="6" s="1"/>
  <c r="Y297" i="6" s="1"/>
  <c r="Y298" i="6" s="1"/>
  <c r="Z297" i="6" s="1"/>
  <c r="Z298" i="6" s="1"/>
  <c r="AA297" i="6" s="1"/>
  <c r="AA298" i="6" s="1"/>
  <c r="AB297" i="6" s="1"/>
  <c r="AB298" i="6" s="1"/>
  <c r="AC297" i="6" s="1"/>
  <c r="AC298" i="6" s="1"/>
  <c r="AD297" i="6" s="1"/>
  <c r="AD298" i="6" s="1"/>
  <c r="AE297" i="6" s="1"/>
  <c r="AE298" i="6" s="1"/>
  <c r="D284" i="6"/>
  <c r="D285" i="6"/>
  <c r="E281" i="6"/>
  <c r="AH72" i="7"/>
  <c r="AT73" i="2"/>
  <c r="D86" i="7"/>
  <c r="AH86" i="7" s="1"/>
  <c r="AT89" i="2"/>
  <c r="C89" i="18"/>
  <c r="C73" i="18"/>
  <c r="B13" i="7"/>
  <c r="C10" i="17"/>
  <c r="F145" i="6" l="1"/>
  <c r="G144" i="6" s="1"/>
  <c r="E284" i="6"/>
  <c r="E285" i="6"/>
  <c r="D286" i="6"/>
  <c r="F281" i="6"/>
  <c r="C10" i="2"/>
  <c r="C10" i="18"/>
  <c r="C164" i="7"/>
  <c r="E34" i="11"/>
  <c r="L164" i="7" l="1"/>
  <c r="T164" i="7"/>
  <c r="AB164" i="7"/>
  <c r="N164" i="7"/>
  <c r="V164" i="7"/>
  <c r="AD164" i="7"/>
  <c r="O164" i="7"/>
  <c r="G164" i="7"/>
  <c r="W164" i="7"/>
  <c r="AE164" i="7"/>
  <c r="R164" i="7"/>
  <c r="H164" i="7"/>
  <c r="P164" i="7"/>
  <c r="X164" i="7"/>
  <c r="AF164" i="7"/>
  <c r="Z164" i="7"/>
  <c r="I164" i="7"/>
  <c r="Q164" i="7"/>
  <c r="Y164" i="7"/>
  <c r="AG164" i="7"/>
  <c r="J164" i="7"/>
  <c r="K164" i="7"/>
  <c r="S164" i="7"/>
  <c r="AA164" i="7"/>
  <c r="M164" i="7"/>
  <c r="U164" i="7"/>
  <c r="AC164" i="7"/>
  <c r="F164" i="7"/>
  <c r="Z10" i="18"/>
  <c r="AA10" i="18"/>
  <c r="AE10" i="18"/>
  <c r="G145" i="6"/>
  <c r="H144" i="6" s="1"/>
  <c r="F285" i="6"/>
  <c r="F284" i="6"/>
  <c r="E286" i="6"/>
  <c r="G281" i="6"/>
  <c r="AT10" i="2"/>
  <c r="D13" i="7"/>
  <c r="AH13" i="7" s="1"/>
  <c r="H51" i="5"/>
  <c r="I51" i="5"/>
  <c r="J51" i="5"/>
  <c r="K51" i="5"/>
  <c r="L51" i="5"/>
  <c r="M51" i="5"/>
  <c r="N51" i="5"/>
  <c r="O51" i="5"/>
  <c r="P51" i="5"/>
  <c r="Q51" i="5"/>
  <c r="Z110" i="18"/>
  <c r="Z111" i="18" s="1"/>
  <c r="Z106" i="18"/>
  <c r="Z102" i="18"/>
  <c r="C108" i="18"/>
  <c r="C107" i="18"/>
  <c r="C109" i="18" l="1"/>
  <c r="H145" i="6"/>
  <c r="I144" i="6" s="1"/>
  <c r="G284" i="6"/>
  <c r="G285" i="6"/>
  <c r="F286" i="6"/>
  <c r="H281" i="6"/>
  <c r="E14" i="1"/>
  <c r="J50" i="5"/>
  <c r="M50" i="5"/>
  <c r="N50" i="5"/>
  <c r="Q50" i="5"/>
  <c r="C50" i="5"/>
  <c r="G50" i="5"/>
  <c r="I50" i="5"/>
  <c r="K50" i="5"/>
  <c r="O50" i="5"/>
  <c r="P50" i="5"/>
  <c r="L50" i="5"/>
  <c r="D50" i="5"/>
  <c r="E50" i="5"/>
  <c r="F50" i="5"/>
  <c r="H50" i="5"/>
  <c r="Y77" i="18"/>
  <c r="Y36" i="18"/>
  <c r="Y20" i="18"/>
  <c r="Y21" i="18"/>
  <c r="Y22" i="18"/>
  <c r="Y23" i="18"/>
  <c r="Y24" i="18"/>
  <c r="Y25" i="18"/>
  <c r="Y26" i="18"/>
  <c r="Y19" i="18"/>
  <c r="Y16" i="18"/>
  <c r="Y17" i="18"/>
  <c r="Y15" i="18"/>
  <c r="X9" i="18"/>
  <c r="X8" i="18"/>
  <c r="X6" i="18"/>
  <c r="W77" i="18"/>
  <c r="W36" i="18"/>
  <c r="W20" i="18"/>
  <c r="W21" i="18"/>
  <c r="W22" i="18"/>
  <c r="W23" i="18"/>
  <c r="W24" i="18"/>
  <c r="W25" i="18"/>
  <c r="W26" i="18"/>
  <c r="W19" i="18"/>
  <c r="W16" i="18"/>
  <c r="W17" i="18"/>
  <c r="W15" i="18"/>
  <c r="V9" i="18"/>
  <c r="V8" i="18"/>
  <c r="V6" i="18"/>
  <c r="U77" i="18"/>
  <c r="U36" i="18"/>
  <c r="U20" i="18"/>
  <c r="U21" i="18"/>
  <c r="U22" i="18"/>
  <c r="U23" i="18"/>
  <c r="U24" i="18"/>
  <c r="U25" i="18"/>
  <c r="U26" i="18"/>
  <c r="U19" i="18"/>
  <c r="U16" i="18"/>
  <c r="U17" i="18"/>
  <c r="U15" i="18"/>
  <c r="T8" i="18"/>
  <c r="T6" i="18"/>
  <c r="S77" i="18"/>
  <c r="S36" i="18"/>
  <c r="S20" i="18"/>
  <c r="S21" i="18"/>
  <c r="S22" i="18"/>
  <c r="S23" i="18"/>
  <c r="S24" i="18"/>
  <c r="S25" i="18"/>
  <c r="S26" i="18"/>
  <c r="S19" i="18"/>
  <c r="S16" i="18"/>
  <c r="S17" i="18"/>
  <c r="S15" i="18"/>
  <c r="R8" i="18"/>
  <c r="R6" i="18"/>
  <c r="Q77" i="18"/>
  <c r="Q36" i="18"/>
  <c r="Q20" i="18"/>
  <c r="Q21" i="18"/>
  <c r="Q22" i="18"/>
  <c r="Q23" i="18"/>
  <c r="Q24" i="18"/>
  <c r="Q25" i="18"/>
  <c r="Q19" i="18"/>
  <c r="Q16" i="18"/>
  <c r="Q17" i="18"/>
  <c r="Q15" i="18"/>
  <c r="P8" i="18"/>
  <c r="P6" i="18"/>
  <c r="O77" i="18"/>
  <c r="O36" i="18"/>
  <c r="O20" i="18"/>
  <c r="O21" i="18"/>
  <c r="O22" i="18"/>
  <c r="O23" i="18"/>
  <c r="O24" i="18"/>
  <c r="O25" i="18"/>
  <c r="O26" i="18"/>
  <c r="O19" i="18"/>
  <c r="O16" i="18"/>
  <c r="O17" i="18"/>
  <c r="O15" i="18"/>
  <c r="N8" i="18"/>
  <c r="N6" i="18"/>
  <c r="M77" i="18"/>
  <c r="M36" i="18"/>
  <c r="M20" i="18"/>
  <c r="M21" i="18"/>
  <c r="M22" i="18"/>
  <c r="M23" i="18"/>
  <c r="M24" i="18"/>
  <c r="M25" i="18"/>
  <c r="M26" i="18"/>
  <c r="M19" i="18"/>
  <c r="M16" i="18"/>
  <c r="M17" i="18"/>
  <c r="M15" i="18"/>
  <c r="L8" i="18"/>
  <c r="L6" i="18"/>
  <c r="K77" i="18"/>
  <c r="K36" i="18"/>
  <c r="K20" i="18"/>
  <c r="K21" i="18"/>
  <c r="K22" i="18"/>
  <c r="K23" i="18"/>
  <c r="K24" i="18"/>
  <c r="K25" i="18"/>
  <c r="K26" i="18"/>
  <c r="K19" i="18"/>
  <c r="K16" i="18"/>
  <c r="K17" i="18"/>
  <c r="K15" i="18"/>
  <c r="J9" i="18"/>
  <c r="J8" i="18"/>
  <c r="J6" i="18"/>
  <c r="H6" i="18"/>
  <c r="I77" i="18"/>
  <c r="I20" i="18"/>
  <c r="I21" i="18"/>
  <c r="I22" i="18"/>
  <c r="I23" i="18"/>
  <c r="I24" i="18"/>
  <c r="I25" i="18"/>
  <c r="I26" i="18"/>
  <c r="I19" i="18"/>
  <c r="I16" i="18"/>
  <c r="I17" i="18"/>
  <c r="I15" i="18"/>
  <c r="G15" i="18"/>
  <c r="F6" i="18"/>
  <c r="G77" i="18"/>
  <c r="G20" i="18"/>
  <c r="G21" i="18"/>
  <c r="G22" i="18"/>
  <c r="G23" i="18"/>
  <c r="G24" i="18"/>
  <c r="G25" i="18"/>
  <c r="E25" i="18" s="1"/>
  <c r="G26" i="18"/>
  <c r="G19" i="18"/>
  <c r="E19" i="18" s="1"/>
  <c r="G16" i="18"/>
  <c r="G17" i="18"/>
  <c r="F8" i="18"/>
  <c r="B92" i="18"/>
  <c r="B85" i="18"/>
  <c r="B84" i="18"/>
  <c r="B77" i="18"/>
  <c r="B76" i="18"/>
  <c r="B71" i="18"/>
  <c r="B70" i="18"/>
  <c r="B69" i="18"/>
  <c r="B68" i="18"/>
  <c r="B36" i="18"/>
  <c r="B33" i="18"/>
  <c r="B28" i="18"/>
  <c r="B27" i="18"/>
  <c r="B26" i="18"/>
  <c r="B25" i="18"/>
  <c r="B24" i="18"/>
  <c r="B23" i="18"/>
  <c r="B22" i="18"/>
  <c r="B21" i="18"/>
  <c r="B20" i="18"/>
  <c r="B19" i="18"/>
  <c r="B18" i="18"/>
  <c r="B17" i="18"/>
  <c r="B16" i="18"/>
  <c r="B15" i="18"/>
  <c r="B14" i="18"/>
  <c r="B13" i="18"/>
  <c r="B9" i="18"/>
  <c r="B8" i="18"/>
  <c r="B7" i="18"/>
  <c r="B6" i="18"/>
  <c r="B5" i="18"/>
  <c r="B4" i="18"/>
  <c r="C3" i="18"/>
  <c r="B1" i="18"/>
  <c r="A1" i="18"/>
  <c r="E24" i="18" l="1"/>
  <c r="E22" i="18"/>
  <c r="E26" i="18"/>
  <c r="D9" i="18"/>
  <c r="E36" i="18"/>
  <c r="E23" i="18"/>
  <c r="E21" i="18"/>
  <c r="E20" i="18"/>
  <c r="E77" i="18"/>
  <c r="D8" i="18"/>
  <c r="D6" i="18"/>
  <c r="E17" i="18"/>
  <c r="E15" i="18"/>
  <c r="E16" i="18"/>
  <c r="I145" i="6"/>
  <c r="J144" i="6" s="1"/>
  <c r="G286" i="6"/>
  <c r="H284" i="6"/>
  <c r="H285" i="6"/>
  <c r="I281" i="6"/>
  <c r="F93" i="18"/>
  <c r="F97" i="18" s="1"/>
  <c r="J145" i="6" l="1"/>
  <c r="K144" i="6" s="1"/>
  <c r="K146" i="6" s="1"/>
  <c r="I284" i="6"/>
  <c r="I285" i="6"/>
  <c r="H286" i="6"/>
  <c r="J281" i="6"/>
  <c r="W93" i="18"/>
  <c r="W97" i="18" s="1"/>
  <c r="V93" i="18"/>
  <c r="H93" i="18"/>
  <c r="T93" i="18"/>
  <c r="X93" i="18"/>
  <c r="J93" i="18"/>
  <c r="L93" i="18"/>
  <c r="N93" i="18"/>
  <c r="P93" i="18"/>
  <c r="R93" i="18"/>
  <c r="Y93" i="18"/>
  <c r="K145" i="6" l="1"/>
  <c r="L144" i="6" s="1"/>
  <c r="I286" i="6"/>
  <c r="J285" i="6"/>
  <c r="J284" i="6"/>
  <c r="K281" i="6"/>
  <c r="V97" i="18"/>
  <c r="R97" i="18"/>
  <c r="P97" i="18"/>
  <c r="N97" i="18"/>
  <c r="L97" i="18"/>
  <c r="J97" i="18"/>
  <c r="T97" i="18"/>
  <c r="Y97" i="18"/>
  <c r="H97" i="18"/>
  <c r="X97" i="18"/>
  <c r="C86" i="17"/>
  <c r="C86" i="2" s="1"/>
  <c r="C87" i="17"/>
  <c r="C87" i="2" s="1"/>
  <c r="C87" i="18" s="1"/>
  <c r="C88" i="17"/>
  <c r="C88" i="2" s="1"/>
  <c r="C85" i="17"/>
  <c r="C80" i="17"/>
  <c r="C78" i="17"/>
  <c r="C78" i="2" s="1"/>
  <c r="C78" i="18" s="1"/>
  <c r="C79" i="17"/>
  <c r="C79" i="2" s="1"/>
  <c r="C79" i="18" s="1"/>
  <c r="C77" i="17"/>
  <c r="C71" i="2"/>
  <c r="D70" i="7" s="1"/>
  <c r="C36" i="17"/>
  <c r="C9" i="17"/>
  <c r="C9" i="18" s="1"/>
  <c r="C21" i="17"/>
  <c r="C21" i="2" s="1"/>
  <c r="AT21" i="2" s="1"/>
  <c r="C16" i="17"/>
  <c r="C16" i="2" s="1"/>
  <c r="AT16" i="2" s="1"/>
  <c r="C17" i="17"/>
  <c r="C17" i="18" s="1"/>
  <c r="AE17" i="18" s="1"/>
  <c r="C18" i="17"/>
  <c r="C18" i="18" s="1"/>
  <c r="C19" i="17"/>
  <c r="C19" i="2" s="1"/>
  <c r="AT19" i="2" s="1"/>
  <c r="C20" i="17"/>
  <c r="C20" i="2" s="1"/>
  <c r="AT20" i="2" s="1"/>
  <c r="C22" i="17"/>
  <c r="C22" i="2" s="1"/>
  <c r="AT22" i="2" s="1"/>
  <c r="C23" i="17"/>
  <c r="C23" i="2" s="1"/>
  <c r="AT23" i="2" s="1"/>
  <c r="C24" i="17"/>
  <c r="C24" i="2" s="1"/>
  <c r="AT24" i="2" s="1"/>
  <c r="C25" i="2"/>
  <c r="AT25" i="2" s="1"/>
  <c r="C26" i="17"/>
  <c r="C26" i="2" s="1"/>
  <c r="AT26" i="2" s="1"/>
  <c r="C27" i="17"/>
  <c r="C27" i="2" s="1"/>
  <c r="AT27" i="2" s="1"/>
  <c r="C15" i="17"/>
  <c r="C8" i="17"/>
  <c r="C8" i="18" s="1"/>
  <c r="C7" i="17"/>
  <c r="C7" i="18" s="1"/>
  <c r="AE7" i="18" s="1"/>
  <c r="C6" i="17"/>
  <c r="C6" i="18" s="1"/>
  <c r="Z6" i="18" s="1"/>
  <c r="C5" i="17"/>
  <c r="B1" i="17"/>
  <c r="A1" i="17"/>
  <c r="C88" i="18" l="1"/>
  <c r="C24" i="18"/>
  <c r="AA24" i="18" s="1"/>
  <c r="D26" i="7"/>
  <c r="C23" i="18"/>
  <c r="AA23" i="18" s="1"/>
  <c r="D25" i="7"/>
  <c r="C22" i="18"/>
  <c r="AE22" i="18" s="1"/>
  <c r="D24" i="7"/>
  <c r="AA79" i="18"/>
  <c r="Z79" i="18"/>
  <c r="C20" i="18"/>
  <c r="AA20" i="18" s="1"/>
  <c r="D22" i="7"/>
  <c r="AA78" i="18"/>
  <c r="Z78" i="18"/>
  <c r="D21" i="7"/>
  <c r="E19" i="2"/>
  <c r="C16" i="18"/>
  <c r="Z16" i="18" s="1"/>
  <c r="D18" i="7"/>
  <c r="E16" i="2"/>
  <c r="C21" i="18"/>
  <c r="AE21" i="18" s="1"/>
  <c r="D23" i="7"/>
  <c r="C27" i="18"/>
  <c r="D29" i="7"/>
  <c r="Z9" i="18"/>
  <c r="AA9" i="18"/>
  <c r="AE9" i="18"/>
  <c r="C26" i="18"/>
  <c r="D28" i="7"/>
  <c r="C25" i="18"/>
  <c r="AA25" i="18" s="1"/>
  <c r="D27" i="7"/>
  <c r="L145" i="6"/>
  <c r="M144" i="6" s="1"/>
  <c r="K284" i="6"/>
  <c r="K285" i="6"/>
  <c r="J286" i="6"/>
  <c r="L281" i="6"/>
  <c r="C13" i="17"/>
  <c r="A23" i="17"/>
  <c r="C77" i="2"/>
  <c r="C77" i="18" s="1"/>
  <c r="AE50" i="18"/>
  <c r="AE49" i="18"/>
  <c r="AA47" i="18"/>
  <c r="Z46" i="18"/>
  <c r="AA45" i="18"/>
  <c r="AA44" i="18"/>
  <c r="Z42" i="18"/>
  <c r="AA41" i="18"/>
  <c r="Z40" i="18"/>
  <c r="C68" i="2"/>
  <c r="C68" i="18" s="1"/>
  <c r="C69" i="2"/>
  <c r="D68" i="7" s="1"/>
  <c r="C70" i="2"/>
  <c r="C85" i="2"/>
  <c r="C26" i="5" s="1"/>
  <c r="C86" i="18"/>
  <c r="C19" i="18"/>
  <c r="C80" i="2"/>
  <c r="C71" i="18"/>
  <c r="C36" i="2"/>
  <c r="C28" i="2"/>
  <c r="AA18" i="18"/>
  <c r="AE18" i="18"/>
  <c r="AE24" i="18"/>
  <c r="AE23" i="18"/>
  <c r="AE6" i="18"/>
  <c r="AE8" i="18"/>
  <c r="AE79" i="18"/>
  <c r="AE78" i="18"/>
  <c r="C5" i="2"/>
  <c r="AT5" i="2" s="1"/>
  <c r="C5" i="18"/>
  <c r="AE5" i="18" s="1"/>
  <c r="C8" i="2"/>
  <c r="AA6" i="18"/>
  <c r="C7" i="2"/>
  <c r="Z8" i="18"/>
  <c r="AA8" i="18"/>
  <c r="C6" i="2"/>
  <c r="AT6" i="2" s="1"/>
  <c r="Y99" i="18"/>
  <c r="Z7" i="18"/>
  <c r="AA7" i="18"/>
  <c r="C15" i="2"/>
  <c r="Z25" i="18"/>
  <c r="AA17" i="18"/>
  <c r="Z17" i="18"/>
  <c r="Z24" i="18"/>
  <c r="W99" i="18"/>
  <c r="C9" i="2"/>
  <c r="I34" i="17"/>
  <c r="K34" i="17"/>
  <c r="J34" i="17"/>
  <c r="L34" i="17"/>
  <c r="I92" i="17"/>
  <c r="I93" i="17" s="1"/>
  <c r="J92" i="17"/>
  <c r="J93" i="17" s="1"/>
  <c r="L92" i="17"/>
  <c r="L93" i="17" s="1"/>
  <c r="M34" i="17"/>
  <c r="K92" i="17"/>
  <c r="K93" i="17" s="1"/>
  <c r="M92" i="17"/>
  <c r="M93" i="17" s="1"/>
  <c r="G92" i="17"/>
  <c r="G93" i="17" s="1"/>
  <c r="H34" i="17"/>
  <c r="G34" i="17"/>
  <c r="H92" i="17"/>
  <c r="H93" i="17" s="1"/>
  <c r="F34" i="17"/>
  <c r="F92" i="17"/>
  <c r="F93" i="17" s="1"/>
  <c r="D93" i="17"/>
  <c r="E34" i="17"/>
  <c r="E92" i="17"/>
  <c r="E93" i="17" s="1"/>
  <c r="AE27" i="18" l="1"/>
  <c r="AA27" i="18"/>
  <c r="Z27" i="18"/>
  <c r="Z105" i="18" s="1"/>
  <c r="Z107" i="18" s="1"/>
  <c r="AE26" i="18"/>
  <c r="AA26" i="18"/>
  <c r="Z26" i="18"/>
  <c r="D30" i="7"/>
  <c r="AH30" i="7" s="1"/>
  <c r="AT28" i="2"/>
  <c r="C75" i="2"/>
  <c r="AA22" i="18"/>
  <c r="Z22" i="18"/>
  <c r="Z23" i="18"/>
  <c r="AE16" i="18"/>
  <c r="AA21" i="18"/>
  <c r="Z21" i="18"/>
  <c r="AA16" i="18"/>
  <c r="AE25" i="18"/>
  <c r="C36" i="18"/>
  <c r="Z36" i="18" s="1"/>
  <c r="C66" i="2"/>
  <c r="C66" i="18" s="1"/>
  <c r="C15" i="18"/>
  <c r="Z15" i="18" s="1"/>
  <c r="D17" i="7"/>
  <c r="AH17" i="7" s="1"/>
  <c r="AE20" i="18"/>
  <c r="Z20" i="18"/>
  <c r="C85" i="18"/>
  <c r="C70" i="18"/>
  <c r="D69" i="7"/>
  <c r="M145" i="6"/>
  <c r="N144" i="6" s="1"/>
  <c r="L284" i="6"/>
  <c r="L285" i="6"/>
  <c r="K286" i="6"/>
  <c r="M281" i="6"/>
  <c r="AE48" i="18"/>
  <c r="AA37" i="18"/>
  <c r="Z37" i="18"/>
  <c r="AE37" i="18"/>
  <c r="AE47" i="18"/>
  <c r="Z77" i="18"/>
  <c r="AA77" i="18"/>
  <c r="C91" i="2"/>
  <c r="AE77" i="18"/>
  <c r="AE44" i="18"/>
  <c r="Z43" i="18"/>
  <c r="AE45" i="18"/>
  <c r="AA43" i="18"/>
  <c r="Z47" i="18"/>
  <c r="AE46" i="18"/>
  <c r="Z45" i="18"/>
  <c r="AA46" i="18"/>
  <c r="Z41" i="18"/>
  <c r="AE43" i="18"/>
  <c r="AE51" i="18"/>
  <c r="AE40" i="18"/>
  <c r="AE41" i="18"/>
  <c r="Z44" i="18"/>
  <c r="AA38" i="18"/>
  <c r="AE42" i="18"/>
  <c r="Z51" i="18"/>
  <c r="AA40" i="18"/>
  <c r="Z38" i="18"/>
  <c r="Z50" i="18"/>
  <c r="Z39" i="18"/>
  <c r="AA51" i="18"/>
  <c r="AA42" i="18"/>
  <c r="AA39" i="18"/>
  <c r="AE38" i="18"/>
  <c r="AE39" i="18"/>
  <c r="D78" i="7"/>
  <c r="AH78" i="7" s="1"/>
  <c r="AT80" i="2"/>
  <c r="C69" i="18"/>
  <c r="AE52" i="18"/>
  <c r="AA19" i="18"/>
  <c r="Z19" i="18"/>
  <c r="C13" i="2"/>
  <c r="AE19" i="18"/>
  <c r="C80" i="18"/>
  <c r="AE80" i="18" s="1"/>
  <c r="C83" i="2"/>
  <c r="C97" i="2" s="1"/>
  <c r="C28" i="18"/>
  <c r="C33" i="2"/>
  <c r="D93" i="18"/>
  <c r="D97" i="18" s="1"/>
  <c r="C75" i="18"/>
  <c r="A22" i="17"/>
  <c r="A20" i="17"/>
  <c r="A21" i="17"/>
  <c r="AE28" i="18" l="1"/>
  <c r="AA28" i="18"/>
  <c r="Z28" i="18"/>
  <c r="AE36" i="18"/>
  <c r="AA36" i="18"/>
  <c r="AE15" i="18"/>
  <c r="AA15" i="18"/>
  <c r="AA80" i="18"/>
  <c r="Z80" i="18"/>
  <c r="N145" i="6"/>
  <c r="O144" i="6" s="1"/>
  <c r="M284" i="6"/>
  <c r="M285" i="6"/>
  <c r="L286" i="6"/>
  <c r="N281" i="6"/>
  <c r="AB97" i="18"/>
  <c r="C34" i="2"/>
  <c r="C33" i="18"/>
  <c r="F51" i="5"/>
  <c r="D51" i="5"/>
  <c r="C51" i="5"/>
  <c r="E51" i="5"/>
  <c r="G51" i="5"/>
  <c r="B76" i="5"/>
  <c r="C75" i="5"/>
  <c r="B75" i="5"/>
  <c r="M286" i="6" l="1"/>
  <c r="AE93" i="18"/>
  <c r="AA93" i="18"/>
  <c r="AA97" i="18" s="1"/>
  <c r="G56" i="5" s="1"/>
  <c r="Z93" i="18"/>
  <c r="O145" i="6"/>
  <c r="P144" i="6" s="1"/>
  <c r="N285" i="6"/>
  <c r="N284" i="6"/>
  <c r="O281" i="6"/>
  <c r="AC97" i="18"/>
  <c r="C57" i="5"/>
  <c r="C34" i="18"/>
  <c r="C12" i="19"/>
  <c r="AM11" i="9"/>
  <c r="AM12" i="9"/>
  <c r="AM13" i="9"/>
  <c r="AM14" i="9"/>
  <c r="AM15" i="9"/>
  <c r="AM16" i="9"/>
  <c r="AM17" i="9"/>
  <c r="AM18" i="9"/>
  <c r="AM19" i="9"/>
  <c r="AM20" i="9"/>
  <c r="AM21" i="9"/>
  <c r="AM22" i="9"/>
  <c r="AM23" i="9"/>
  <c r="AM24" i="9"/>
  <c r="AM25" i="9"/>
  <c r="AM26" i="9"/>
  <c r="AM27" i="9"/>
  <c r="AM28" i="9"/>
  <c r="AM29" i="9"/>
  <c r="AM30" i="9"/>
  <c r="AM31" i="9"/>
  <c r="AM32" i="9"/>
  <c r="AM33" i="9"/>
  <c r="AM34" i="9"/>
  <c r="AM35" i="9"/>
  <c r="AM36" i="9"/>
  <c r="AM37" i="9"/>
  <c r="AM38" i="9"/>
  <c r="AM39" i="9"/>
  <c r="AM40" i="9"/>
  <c r="AM41" i="9"/>
  <c r="AM42" i="9"/>
  <c r="AM43" i="9"/>
  <c r="AM44" i="9"/>
  <c r="AM45" i="9"/>
  <c r="AM46" i="9"/>
  <c r="AM47" i="9"/>
  <c r="AM48" i="9"/>
  <c r="AM49" i="9"/>
  <c r="AM10" i="9"/>
  <c r="AM8" i="9"/>
  <c r="U40" i="9"/>
  <c r="U18" i="9"/>
  <c r="U19" i="9"/>
  <c r="U20" i="9"/>
  <c r="U21" i="9"/>
  <c r="U22" i="9"/>
  <c r="U23" i="9"/>
  <c r="U24" i="9"/>
  <c r="U25" i="9"/>
  <c r="U26" i="9"/>
  <c r="U27" i="9"/>
  <c r="U28" i="9"/>
  <c r="U29" i="9"/>
  <c r="U30" i="9"/>
  <c r="U31" i="9"/>
  <c r="U32" i="9"/>
  <c r="U33" i="9"/>
  <c r="U34" i="9"/>
  <c r="U11" i="9"/>
  <c r="U12" i="9"/>
  <c r="U13" i="9"/>
  <c r="U14" i="9"/>
  <c r="U15" i="9"/>
  <c r="U16" i="9"/>
  <c r="U17" i="9"/>
  <c r="U35" i="9"/>
  <c r="U36" i="9"/>
  <c r="U37" i="9"/>
  <c r="U38" i="9"/>
  <c r="U39" i="9"/>
  <c r="U41" i="9"/>
  <c r="U42" i="9"/>
  <c r="U43" i="9"/>
  <c r="U44" i="9"/>
  <c r="U45" i="9"/>
  <c r="U46" i="9"/>
  <c r="U47" i="9"/>
  <c r="AS86" i="2"/>
  <c r="AS87" i="2"/>
  <c r="AS88" i="2"/>
  <c r="AS85" i="2"/>
  <c r="AS79" i="2"/>
  <c r="AS78" i="2"/>
  <c r="AS77" i="2"/>
  <c r="AT68" i="2"/>
  <c r="AT15" i="2"/>
  <c r="AT7" i="2"/>
  <c r="AG4" i="2"/>
  <c r="AG94" i="2" s="1"/>
  <c r="Y4" i="2"/>
  <c r="Y94" i="2" s="1"/>
  <c r="X4" i="2"/>
  <c r="X94" i="2" s="1"/>
  <c r="AM4" i="2"/>
  <c r="AM94" i="2" s="1"/>
  <c r="Y3" i="2"/>
  <c r="X3" i="2"/>
  <c r="A1" i="2"/>
  <c r="C37" i="1"/>
  <c r="C52" i="1"/>
  <c r="E40" i="19" s="1"/>
  <c r="B18" i="1"/>
  <c r="R103" i="9"/>
  <c r="E5" i="19"/>
  <c r="E4" i="19"/>
  <c r="U7" i="9"/>
  <c r="U8" i="9"/>
  <c r="U9" i="9"/>
  <c r="AM9" i="9"/>
  <c r="U10" i="9"/>
  <c r="U48" i="9"/>
  <c r="U49" i="9"/>
  <c r="U50" i="9"/>
  <c r="AM50" i="9"/>
  <c r="U51" i="9"/>
  <c r="AM51" i="9"/>
  <c r="U52" i="9"/>
  <c r="AM52" i="9"/>
  <c r="U53" i="9"/>
  <c r="AM53" i="9"/>
  <c r="U54" i="9"/>
  <c r="AM54" i="9"/>
  <c r="U55" i="9"/>
  <c r="AM55" i="9"/>
  <c r="U56" i="9"/>
  <c r="AM56" i="9"/>
  <c r="U57" i="9"/>
  <c r="AM57" i="9"/>
  <c r="U58" i="9"/>
  <c r="AM58" i="9"/>
  <c r="U59" i="9"/>
  <c r="AM59" i="9"/>
  <c r="U60" i="9"/>
  <c r="AM60" i="9"/>
  <c r="U61" i="9"/>
  <c r="AM61" i="9"/>
  <c r="U62" i="9"/>
  <c r="AM62" i="9"/>
  <c r="U63" i="9"/>
  <c r="AM63" i="9"/>
  <c r="U64" i="9"/>
  <c r="AM64" i="9"/>
  <c r="U65" i="9"/>
  <c r="AM65" i="9"/>
  <c r="U66" i="9"/>
  <c r="AM66" i="9"/>
  <c r="U67" i="9"/>
  <c r="AM67" i="9"/>
  <c r="U68" i="9"/>
  <c r="AM68" i="9"/>
  <c r="U69" i="9"/>
  <c r="AM69" i="9"/>
  <c r="U70" i="9"/>
  <c r="AM70" i="9"/>
  <c r="U71" i="9"/>
  <c r="AM71" i="9"/>
  <c r="U72" i="9"/>
  <c r="AM72" i="9"/>
  <c r="U73" i="9"/>
  <c r="AM73" i="9"/>
  <c r="U74" i="9"/>
  <c r="AM74" i="9"/>
  <c r="U75" i="9"/>
  <c r="AM75" i="9"/>
  <c r="U76" i="9"/>
  <c r="AM76" i="9"/>
  <c r="U77" i="9"/>
  <c r="AM77" i="9"/>
  <c r="U78" i="9"/>
  <c r="AM78" i="9"/>
  <c r="U79" i="9"/>
  <c r="AM79" i="9"/>
  <c r="U80" i="9"/>
  <c r="AM80" i="9"/>
  <c r="AF93" i="18" l="1"/>
  <c r="D142" i="7"/>
  <c r="AS93" i="2"/>
  <c r="D2" i="2"/>
  <c r="R108" i="9"/>
  <c r="X103" i="18"/>
  <c r="V103" i="18"/>
  <c r="T103" i="18"/>
  <c r="P103" i="18"/>
  <c r="N103" i="18"/>
  <c r="J103" i="18"/>
  <c r="H103" i="18"/>
  <c r="F103" i="18"/>
  <c r="R103" i="18"/>
  <c r="L103" i="18"/>
  <c r="D103" i="18"/>
  <c r="S103" i="18"/>
  <c r="G103" i="18"/>
  <c r="Q103" i="18"/>
  <c r="E103" i="18"/>
  <c r="O103" i="18"/>
  <c r="Y103" i="18"/>
  <c r="M103" i="18"/>
  <c r="W103" i="18"/>
  <c r="K103" i="18"/>
  <c r="U103" i="18"/>
  <c r="I103" i="18"/>
  <c r="Z97" i="18"/>
  <c r="Z101" i="18" s="1"/>
  <c r="Z103" i="18" s="1"/>
  <c r="F56" i="5"/>
  <c r="D56" i="5"/>
  <c r="E56" i="5"/>
  <c r="C56" i="5"/>
  <c r="P145" i="6"/>
  <c r="Q144" i="6" s="1"/>
  <c r="N286" i="6"/>
  <c r="O285" i="6"/>
  <c r="O284" i="6"/>
  <c r="P281" i="6"/>
  <c r="E13" i="19"/>
  <c r="E2" i="2"/>
  <c r="C14" i="19"/>
  <c r="L142" i="7" l="1"/>
  <c r="T142" i="7"/>
  <c r="AB142" i="7"/>
  <c r="M142" i="7"/>
  <c r="U142" i="7"/>
  <c r="AC142" i="7"/>
  <c r="F142" i="7"/>
  <c r="N142" i="7"/>
  <c r="V142" i="7"/>
  <c r="AD142" i="7"/>
  <c r="G142" i="7"/>
  <c r="O142" i="7"/>
  <c r="W142" i="7"/>
  <c r="AE142" i="7"/>
  <c r="H142" i="7"/>
  <c r="P142" i="7"/>
  <c r="X142" i="7"/>
  <c r="AF142" i="7"/>
  <c r="I142" i="7"/>
  <c r="Q142" i="7"/>
  <c r="Y142" i="7"/>
  <c r="AG142" i="7"/>
  <c r="J142" i="7"/>
  <c r="R142" i="7"/>
  <c r="Z142" i="7"/>
  <c r="E142" i="7"/>
  <c r="K142" i="7"/>
  <c r="S142" i="7"/>
  <c r="AA142" i="7"/>
  <c r="F49" i="5"/>
  <c r="L49" i="5"/>
  <c r="M49" i="5"/>
  <c r="J49" i="5"/>
  <c r="H49" i="5"/>
  <c r="C49" i="5"/>
  <c r="I49" i="5"/>
  <c r="G49" i="5"/>
  <c r="O49" i="5"/>
  <c r="N49" i="5"/>
  <c r="E49" i="5"/>
  <c r="D49" i="5"/>
  <c r="Q49" i="5"/>
  <c r="K49" i="5"/>
  <c r="P49" i="5"/>
  <c r="Q145" i="6"/>
  <c r="R144" i="6" s="1"/>
  <c r="P285" i="6"/>
  <c r="P284" i="6"/>
  <c r="O286" i="6"/>
  <c r="Q281" i="6"/>
  <c r="E40" i="2"/>
  <c r="E42" i="2"/>
  <c r="E64" i="2"/>
  <c r="E44" i="2"/>
  <c r="E63" i="2"/>
  <c r="E38" i="2"/>
  <c r="E59" i="2"/>
  <c r="E65" i="2"/>
  <c r="E55" i="2"/>
  <c r="E61" i="2"/>
  <c r="E51" i="2"/>
  <c r="E57" i="2"/>
  <c r="E60" i="2"/>
  <c r="E47" i="2"/>
  <c r="E53" i="2"/>
  <c r="E37" i="2"/>
  <c r="E43" i="2"/>
  <c r="E49" i="2"/>
  <c r="E39" i="2"/>
  <c r="E62" i="2"/>
  <c r="E45" i="2"/>
  <c r="E56" i="2"/>
  <c r="E58" i="2"/>
  <c r="E41" i="2"/>
  <c r="E52" i="2"/>
  <c r="E54" i="2"/>
  <c r="E48" i="2"/>
  <c r="E50" i="2"/>
  <c r="E46" i="2"/>
  <c r="D12" i="2"/>
  <c r="D55" i="2"/>
  <c r="D62" i="2"/>
  <c r="D53" i="2"/>
  <c r="D58" i="2"/>
  <c r="D54" i="2"/>
  <c r="D41" i="2"/>
  <c r="D43" i="2"/>
  <c r="D61" i="2"/>
  <c r="D64" i="2"/>
  <c r="D38" i="2"/>
  <c r="D65" i="2"/>
  <c r="D56" i="2"/>
  <c r="D59" i="2"/>
  <c r="D49" i="2"/>
  <c r="D50" i="2"/>
  <c r="D46" i="2"/>
  <c r="D47" i="2"/>
  <c r="D51" i="2"/>
  <c r="D52" i="2"/>
  <c r="D17" i="2"/>
  <c r="D39" i="2"/>
  <c r="D60" i="2"/>
  <c r="D57" i="2"/>
  <c r="D44" i="2"/>
  <c r="D63" i="2"/>
  <c r="D48" i="2"/>
  <c r="D45" i="2"/>
  <c r="D40" i="2"/>
  <c r="D42" i="2"/>
  <c r="D37" i="2"/>
  <c r="AM81" i="9"/>
  <c r="D75" i="1"/>
  <c r="B10" i="1"/>
  <c r="E34" i="19"/>
  <c r="C29" i="1"/>
  <c r="C30" i="1"/>
  <c r="C37" i="19" s="1"/>
  <c r="C31" i="1"/>
  <c r="C32" i="1"/>
  <c r="C38" i="19" s="1"/>
  <c r="C33" i="1"/>
  <c r="C39" i="19" s="1"/>
  <c r="C34" i="1"/>
  <c r="E37" i="19" s="1"/>
  <c r="C35" i="1"/>
  <c r="C35" i="19" s="1"/>
  <c r="C36" i="1"/>
  <c r="E35" i="19" s="1"/>
  <c r="C47" i="1"/>
  <c r="C48" i="1"/>
  <c r="E36" i="19" s="1"/>
  <c r="C49" i="1"/>
  <c r="E38" i="19" s="1"/>
  <c r="C50" i="1"/>
  <c r="E39" i="19" s="1"/>
  <c r="C51" i="1"/>
  <c r="C40" i="19" s="1"/>
  <c r="C34" i="19"/>
  <c r="C36" i="19" l="1"/>
  <c r="R145" i="6"/>
  <c r="S144" i="6" s="1"/>
  <c r="P286" i="6"/>
  <c r="Q284" i="6"/>
  <c r="Q285" i="6"/>
  <c r="R281" i="6"/>
  <c r="AJ4" i="2"/>
  <c r="AJ94" i="2" s="1"/>
  <c r="AJ3" i="2"/>
  <c r="S145" i="6" l="1"/>
  <c r="T144" i="6" s="1"/>
  <c r="Q286" i="6"/>
  <c r="R285" i="6"/>
  <c r="R284" i="6"/>
  <c r="S281" i="6"/>
  <c r="E41" i="11"/>
  <c r="C17" i="19" s="1"/>
  <c r="R286" i="6" l="1"/>
  <c r="T145" i="6"/>
  <c r="U144" i="6" s="1"/>
  <c r="S284" i="6"/>
  <c r="S285" i="6"/>
  <c r="T281" i="6"/>
  <c r="D6" i="11"/>
  <c r="U145" i="6" l="1"/>
  <c r="V144" i="6" s="1"/>
  <c r="T284" i="6"/>
  <c r="T285" i="6"/>
  <c r="S286" i="6"/>
  <c r="U281" i="6"/>
  <c r="AH92" i="7" l="1"/>
  <c r="V145" i="6"/>
  <c r="W144" i="6" s="1"/>
  <c r="U285" i="6"/>
  <c r="U284" i="6"/>
  <c r="T286" i="6"/>
  <c r="V281" i="6"/>
  <c r="W145" i="6" l="1"/>
  <c r="X144" i="6" s="1"/>
  <c r="V285" i="6"/>
  <c r="V284" i="6"/>
  <c r="U286" i="6"/>
  <c r="W281" i="6"/>
  <c r="B261" i="6"/>
  <c r="B258" i="6"/>
  <c r="B266" i="6" s="1"/>
  <c r="AL4" i="2"/>
  <c r="AL94" i="2" s="1"/>
  <c r="AK4" i="2"/>
  <c r="AK94" i="2" s="1"/>
  <c r="AI4" i="2"/>
  <c r="AI94" i="2" s="1"/>
  <c r="AH4" i="2"/>
  <c r="AH94" i="2" s="1"/>
  <c r="W4" i="2"/>
  <c r="W94" i="2" s="1"/>
  <c r="V4" i="2"/>
  <c r="V94" i="2" s="1"/>
  <c r="U4" i="2"/>
  <c r="U94" i="2" s="1"/>
  <c r="T4" i="2"/>
  <c r="T94" i="2" s="1"/>
  <c r="S4" i="2"/>
  <c r="S94" i="2" s="1"/>
  <c r="R4" i="2"/>
  <c r="R94" i="2" s="1"/>
  <c r="Q4" i="2"/>
  <c r="Q94" i="2" s="1"/>
  <c r="P4" i="2"/>
  <c r="P94" i="2" s="1"/>
  <c r="J4" i="2"/>
  <c r="J94" i="2" s="1"/>
  <c r="AM3" i="2"/>
  <c r="AL3" i="2"/>
  <c r="AK3" i="2"/>
  <c r="AI3" i="2"/>
  <c r="AH3" i="2"/>
  <c r="W3" i="2"/>
  <c r="V3" i="2"/>
  <c r="X145" i="6" l="1"/>
  <c r="Y144" i="6" s="1"/>
  <c r="V286" i="6"/>
  <c r="W285" i="6"/>
  <c r="W284" i="6"/>
  <c r="X281" i="6"/>
  <c r="B262" i="6"/>
  <c r="A151" i="6"/>
  <c r="A256" i="6"/>
  <c r="C265" i="6"/>
  <c r="C267" i="6" s="1"/>
  <c r="B241" i="6"/>
  <c r="B240" i="6"/>
  <c r="A238" i="6"/>
  <c r="B225" i="6"/>
  <c r="B224" i="6"/>
  <c r="B227" i="6" s="1"/>
  <c r="B228" i="6" s="1"/>
  <c r="A221" i="6"/>
  <c r="B206" i="6"/>
  <c r="B205" i="6"/>
  <c r="A203" i="6"/>
  <c r="B188" i="6"/>
  <c r="B187" i="6"/>
  <c r="A185" i="6"/>
  <c r="C248" i="6"/>
  <c r="C230" i="6"/>
  <c r="C233" i="6" s="1"/>
  <c r="C213" i="6"/>
  <c r="C195" i="6"/>
  <c r="B171" i="6"/>
  <c r="B170" i="6"/>
  <c r="A168" i="6"/>
  <c r="U3" i="2"/>
  <c r="T3" i="2"/>
  <c r="S3" i="2"/>
  <c r="R3" i="2"/>
  <c r="Q3" i="2"/>
  <c r="P3" i="2"/>
  <c r="C269" i="6" l="1"/>
  <c r="B214" i="6"/>
  <c r="B217" i="6" s="1"/>
  <c r="B215" i="6" s="1"/>
  <c r="B209" i="6"/>
  <c r="B210" i="6" s="1"/>
  <c r="B174" i="6"/>
  <c r="B175" i="6" s="1"/>
  <c r="B249" i="6"/>
  <c r="B252" i="6" s="1"/>
  <c r="B253" i="6" s="1"/>
  <c r="B244" i="6"/>
  <c r="B245" i="6" s="1"/>
  <c r="B196" i="6"/>
  <c r="B199" i="6" s="1"/>
  <c r="B200" i="6" s="1"/>
  <c r="B191" i="6"/>
  <c r="B192" i="6" s="1"/>
  <c r="Y145" i="6"/>
  <c r="Z144" i="6" s="1"/>
  <c r="D213" i="6"/>
  <c r="C216" i="6"/>
  <c r="D248" i="6"/>
  <c r="C251" i="6"/>
  <c r="X285" i="6"/>
  <c r="X284" i="6"/>
  <c r="W286" i="6"/>
  <c r="Y281" i="6"/>
  <c r="D195" i="6"/>
  <c r="C198" i="6"/>
  <c r="B231" i="6"/>
  <c r="B267" i="6"/>
  <c r="D230" i="6"/>
  <c r="D233" i="6" s="1"/>
  <c r="B263" i="6"/>
  <c r="D265" i="6"/>
  <c r="E265" i="6" s="1"/>
  <c r="F265" i="6" s="1"/>
  <c r="G265" i="6" s="1"/>
  <c r="H265" i="6" s="1"/>
  <c r="I265" i="6" s="1"/>
  <c r="J265" i="6" s="1"/>
  <c r="K265" i="6" s="1"/>
  <c r="L265" i="6" s="1"/>
  <c r="M265" i="6" s="1"/>
  <c r="N265" i="6" s="1"/>
  <c r="O265" i="6" s="1"/>
  <c r="P265" i="6" s="1"/>
  <c r="Q265" i="6" s="1"/>
  <c r="R265" i="6" s="1"/>
  <c r="S265" i="6" s="1"/>
  <c r="T265" i="6" s="1"/>
  <c r="U265" i="6" s="1"/>
  <c r="V265" i="6" s="1"/>
  <c r="W265" i="6" s="1"/>
  <c r="X265" i="6" s="1"/>
  <c r="Y265" i="6" s="1"/>
  <c r="Z265" i="6" s="1"/>
  <c r="AA265" i="6" s="1"/>
  <c r="AB265" i="6" s="1"/>
  <c r="AC265" i="6" s="1"/>
  <c r="AD265" i="6" s="1"/>
  <c r="AE265" i="6" s="1"/>
  <c r="AE267" i="6" s="1"/>
  <c r="D266" i="6"/>
  <c r="Z145" i="6" l="1"/>
  <c r="AA144" i="6" s="1"/>
  <c r="E248" i="6"/>
  <c r="D251" i="6"/>
  <c r="C266" i="6"/>
  <c r="C268" i="6" s="1"/>
  <c r="C270" i="6" s="1"/>
  <c r="B268" i="6"/>
  <c r="B269" i="6" s="1"/>
  <c r="E213" i="6"/>
  <c r="D216" i="6"/>
  <c r="B218" i="6"/>
  <c r="Y285" i="6"/>
  <c r="Y284" i="6"/>
  <c r="B197" i="6"/>
  <c r="C196" i="6" s="1"/>
  <c r="C199" i="6" s="1"/>
  <c r="C200" i="6" s="1"/>
  <c r="B250" i="6"/>
  <c r="C249" i="6" s="1"/>
  <c r="C252" i="6" s="1"/>
  <c r="C253" i="6" s="1"/>
  <c r="X286" i="6"/>
  <c r="Z281" i="6"/>
  <c r="B234" i="6"/>
  <c r="B235" i="6" s="1"/>
  <c r="E195" i="6"/>
  <c r="D198" i="6"/>
  <c r="E230" i="6"/>
  <c r="E233" i="6" s="1"/>
  <c r="D268" i="6"/>
  <c r="L267" i="6"/>
  <c r="M266" i="6" s="1"/>
  <c r="M268" i="6" s="1"/>
  <c r="R267" i="6"/>
  <c r="S266" i="6" s="1"/>
  <c r="S268" i="6" s="1"/>
  <c r="J267" i="6"/>
  <c r="K266" i="6" s="1"/>
  <c r="K268" i="6" s="1"/>
  <c r="Z267" i="6"/>
  <c r="AA266" i="6" s="1"/>
  <c r="AA268" i="6" s="1"/>
  <c r="Y267" i="6"/>
  <c r="Z266" i="6" s="1"/>
  <c r="Z268" i="6" s="1"/>
  <c r="P267" i="6"/>
  <c r="Q266" i="6" s="1"/>
  <c r="Q268" i="6" s="1"/>
  <c r="H267" i="6"/>
  <c r="I266" i="6" s="1"/>
  <c r="I268" i="6" s="1"/>
  <c r="I267" i="6"/>
  <c r="J266" i="6" s="1"/>
  <c r="J268" i="6" s="1"/>
  <c r="AD267" i="6"/>
  <c r="AE266" i="6" s="1"/>
  <c r="AE268" i="6" s="1"/>
  <c r="U267" i="6"/>
  <c r="V266" i="6" s="1"/>
  <c r="V268" i="6" s="1"/>
  <c r="D267" i="6"/>
  <c r="E266" i="6" s="1"/>
  <c r="E268" i="6" s="1"/>
  <c r="E267" i="6"/>
  <c r="F266" i="6" s="1"/>
  <c r="F268" i="6" s="1"/>
  <c r="T267" i="6"/>
  <c r="U266" i="6" s="1"/>
  <c r="U268" i="6" s="1"/>
  <c r="Q267" i="6"/>
  <c r="R266" i="6" s="1"/>
  <c r="R268" i="6" s="1"/>
  <c r="F267" i="6"/>
  <c r="G266" i="6" s="1"/>
  <c r="G268" i="6" s="1"/>
  <c r="M267" i="6"/>
  <c r="N266" i="6" s="1"/>
  <c r="N268" i="6" s="1"/>
  <c r="AB267" i="6"/>
  <c r="AC266" i="6" s="1"/>
  <c r="AC268" i="6" s="1"/>
  <c r="AA267" i="6"/>
  <c r="AB266" i="6" s="1"/>
  <c r="AB268" i="6" s="1"/>
  <c r="W267" i="6"/>
  <c r="X266" i="6" s="1"/>
  <c r="X268" i="6" s="1"/>
  <c r="O267" i="6"/>
  <c r="P266" i="6" s="1"/>
  <c r="P268" i="6" s="1"/>
  <c r="S267" i="6"/>
  <c r="T266" i="6" s="1"/>
  <c r="T268" i="6" s="1"/>
  <c r="G267" i="6"/>
  <c r="H266" i="6" s="1"/>
  <c r="H268" i="6" s="1"/>
  <c r="K267" i="6"/>
  <c r="L266" i="6" s="1"/>
  <c r="L268" i="6" s="1"/>
  <c r="X267" i="6"/>
  <c r="Y266" i="6" s="1"/>
  <c r="Y268" i="6" s="1"/>
  <c r="V267" i="6"/>
  <c r="W266" i="6" s="1"/>
  <c r="W268" i="6" s="1"/>
  <c r="N267" i="6"/>
  <c r="O266" i="6" s="1"/>
  <c r="O268" i="6" s="1"/>
  <c r="AC267" i="6"/>
  <c r="AD266" i="6" s="1"/>
  <c r="AD268" i="6" s="1"/>
  <c r="C214" i="6"/>
  <c r="AB269" i="6"/>
  <c r="O269" i="6"/>
  <c r="U269" i="6"/>
  <c r="D269" i="6"/>
  <c r="Q269" i="6"/>
  <c r="AA269" i="6"/>
  <c r="H269" i="6"/>
  <c r="AC269" i="6"/>
  <c r="I269" i="6"/>
  <c r="S269" i="6"/>
  <c r="L269" i="6"/>
  <c r="X269" i="6"/>
  <c r="T269" i="6"/>
  <c r="E269" i="6"/>
  <c r="V269" i="6"/>
  <c r="F269" i="6"/>
  <c r="K269" i="6"/>
  <c r="G269" i="6"/>
  <c r="P269" i="6"/>
  <c r="W269" i="6"/>
  <c r="J269" i="6"/>
  <c r="M269" i="6"/>
  <c r="AE269" i="6"/>
  <c r="R269" i="6"/>
  <c r="Z269" i="6"/>
  <c r="Y269" i="6"/>
  <c r="N269" i="6"/>
  <c r="AD269" i="6"/>
  <c r="Y286" i="6" l="1"/>
  <c r="AA145" i="6"/>
  <c r="AB144" i="6" s="1"/>
  <c r="M270" i="6"/>
  <c r="F213" i="6"/>
  <c r="E216" i="6"/>
  <c r="F248" i="6"/>
  <c r="E251" i="6"/>
  <c r="B270" i="6"/>
  <c r="Z285" i="6"/>
  <c r="Z284" i="6"/>
  <c r="AA281" i="6"/>
  <c r="F195" i="6"/>
  <c r="E198" i="6"/>
  <c r="C217" i="6"/>
  <c r="C218" i="6" s="1"/>
  <c r="B232" i="6"/>
  <c r="C231" i="6" s="1"/>
  <c r="F230" i="6"/>
  <c r="F233" i="6" s="1"/>
  <c r="D270" i="6"/>
  <c r="V270" i="6"/>
  <c r="AE270" i="6"/>
  <c r="F270" i="6"/>
  <c r="E270" i="6"/>
  <c r="U270" i="6"/>
  <c r="AB270" i="6"/>
  <c r="T270" i="6"/>
  <c r="G270" i="6"/>
  <c r="N270" i="6"/>
  <c r="H270" i="6"/>
  <c r="X270" i="6"/>
  <c r="AC270" i="6"/>
  <c r="W270" i="6"/>
  <c r="O270" i="6"/>
  <c r="L270" i="6"/>
  <c r="AD270" i="6"/>
  <c r="P270" i="6"/>
  <c r="I270" i="6"/>
  <c r="R270" i="6"/>
  <c r="Q270" i="6"/>
  <c r="K270" i="6"/>
  <c r="AA270" i="6"/>
  <c r="Y270" i="6"/>
  <c r="Z270" i="6"/>
  <c r="J270" i="6"/>
  <c r="S270" i="6"/>
  <c r="C250" i="6"/>
  <c r="D249" i="6" s="1"/>
  <c r="D252" i="6" s="1"/>
  <c r="D253" i="6" s="1"/>
  <c r="C197" i="6"/>
  <c r="D196" i="6" s="1"/>
  <c r="D199" i="6" s="1"/>
  <c r="Z286" i="6" l="1"/>
  <c r="AB145" i="6"/>
  <c r="AC144" i="6" s="1"/>
  <c r="G248" i="6"/>
  <c r="F251" i="6"/>
  <c r="G213" i="6"/>
  <c r="F216" i="6"/>
  <c r="AA285" i="6"/>
  <c r="AA284" i="6"/>
  <c r="C215" i="6"/>
  <c r="D214" i="6" s="1"/>
  <c r="D217" i="6" s="1"/>
  <c r="D218" i="6" s="1"/>
  <c r="AB281" i="6"/>
  <c r="C234" i="6"/>
  <c r="C235" i="6" s="1"/>
  <c r="G195" i="6"/>
  <c r="F198" i="6"/>
  <c r="G230" i="6"/>
  <c r="G233" i="6" s="1"/>
  <c r="D250" i="6"/>
  <c r="E249" i="6" s="1"/>
  <c r="E252" i="6" s="1"/>
  <c r="E253" i="6" s="1"/>
  <c r="D200" i="6"/>
  <c r="AC145" i="6" l="1"/>
  <c r="AD144" i="6" s="1"/>
  <c r="C232" i="6"/>
  <c r="D231" i="6" s="1"/>
  <c r="D234" i="6" s="1"/>
  <c r="D232" i="6" s="1"/>
  <c r="E231" i="6" s="1"/>
  <c r="H213" i="6"/>
  <c r="G216" i="6"/>
  <c r="H248" i="6"/>
  <c r="G251" i="6"/>
  <c r="AA286" i="6"/>
  <c r="AB284" i="6"/>
  <c r="AB285" i="6"/>
  <c r="D215" i="6"/>
  <c r="E214" i="6" s="1"/>
  <c r="E217" i="6" s="1"/>
  <c r="E218" i="6" s="1"/>
  <c r="AC281" i="6"/>
  <c r="H195" i="6"/>
  <c r="G198" i="6"/>
  <c r="H230" i="6"/>
  <c r="H233" i="6" s="1"/>
  <c r="E250" i="6"/>
  <c r="F249" i="6" s="1"/>
  <c r="F252" i="6" s="1"/>
  <c r="F253" i="6" s="1"/>
  <c r="D197" i="6"/>
  <c r="E196" i="6" s="1"/>
  <c r="E199" i="6" s="1"/>
  <c r="AD145" i="6" l="1"/>
  <c r="AE144" i="6" s="1"/>
  <c r="I248" i="6"/>
  <c r="H251" i="6"/>
  <c r="D235" i="6"/>
  <c r="I213" i="6"/>
  <c r="H216" i="6"/>
  <c r="AC285" i="6"/>
  <c r="AC284" i="6"/>
  <c r="E215" i="6"/>
  <c r="F214" i="6" s="1"/>
  <c r="F217" i="6" s="1"/>
  <c r="F218" i="6" s="1"/>
  <c r="AB286" i="6"/>
  <c r="AD281" i="6"/>
  <c r="E234" i="6"/>
  <c r="E235" i="6" s="1"/>
  <c r="I195" i="6"/>
  <c r="H198" i="6"/>
  <c r="I230" i="6"/>
  <c r="I233" i="6" s="1"/>
  <c r="F250" i="6"/>
  <c r="G249" i="6" s="1"/>
  <c r="G252" i="6" s="1"/>
  <c r="G253" i="6" s="1"/>
  <c r="E200" i="6"/>
  <c r="AE145" i="6" l="1"/>
  <c r="E232" i="6"/>
  <c r="F231" i="6" s="1"/>
  <c r="F234" i="6" s="1"/>
  <c r="J213" i="6"/>
  <c r="I216" i="6"/>
  <c r="J248" i="6"/>
  <c r="I251" i="6"/>
  <c r="AD285" i="6"/>
  <c r="AD284" i="6"/>
  <c r="AC286" i="6"/>
  <c r="AE281" i="6"/>
  <c r="J195" i="6"/>
  <c r="I198" i="6"/>
  <c r="E197" i="6"/>
  <c r="F196" i="6" s="1"/>
  <c r="J230" i="6"/>
  <c r="J233" i="6" s="1"/>
  <c r="G250" i="6"/>
  <c r="H249" i="6" s="1"/>
  <c r="F215" i="6"/>
  <c r="G214" i="6" s="1"/>
  <c r="G217" i="6" s="1"/>
  <c r="K248" i="6" l="1"/>
  <c r="J251" i="6"/>
  <c r="K213" i="6"/>
  <c r="J216" i="6"/>
  <c r="AD286" i="6"/>
  <c r="AE284" i="6"/>
  <c r="AE285" i="6"/>
  <c r="K195" i="6"/>
  <c r="J198" i="6"/>
  <c r="F199" i="6"/>
  <c r="F200" i="6" s="1"/>
  <c r="K230" i="6"/>
  <c r="K233" i="6" s="1"/>
  <c r="H252" i="6"/>
  <c r="H253" i="6" s="1"/>
  <c r="F235" i="6"/>
  <c r="G218" i="6"/>
  <c r="F197" i="6" l="1"/>
  <c r="G196" i="6" s="1"/>
  <c r="G199" i="6" s="1"/>
  <c r="G200" i="6" s="1"/>
  <c r="L213" i="6"/>
  <c r="K216" i="6"/>
  <c r="L248" i="6"/>
  <c r="K251" i="6"/>
  <c r="AE286" i="6"/>
  <c r="L195" i="6"/>
  <c r="K198" i="6"/>
  <c r="L230" i="6"/>
  <c r="L233" i="6" s="1"/>
  <c r="H250" i="6"/>
  <c r="I249" i="6" s="1"/>
  <c r="F232" i="6"/>
  <c r="G231" i="6" s="1"/>
  <c r="G234" i="6" s="1"/>
  <c r="G215" i="6"/>
  <c r="H214" i="6" s="1"/>
  <c r="H217" i="6" s="1"/>
  <c r="M248" i="6" l="1"/>
  <c r="L251" i="6"/>
  <c r="G197" i="6"/>
  <c r="H196" i="6" s="1"/>
  <c r="H199" i="6" s="1"/>
  <c r="H200" i="6" s="1"/>
  <c r="M213" i="6"/>
  <c r="L216" i="6"/>
  <c r="M195" i="6"/>
  <c r="L198" i="6"/>
  <c r="M230" i="6"/>
  <c r="M233" i="6" s="1"/>
  <c r="I252" i="6"/>
  <c r="I253" i="6" s="1"/>
  <c r="G235" i="6"/>
  <c r="H218" i="6"/>
  <c r="N213" i="6" l="1"/>
  <c r="M216" i="6"/>
  <c r="N248" i="6"/>
  <c r="M251" i="6"/>
  <c r="N195" i="6"/>
  <c r="M198" i="6"/>
  <c r="N230" i="6"/>
  <c r="N233" i="6" s="1"/>
  <c r="I250" i="6"/>
  <c r="J249" i="6" s="1"/>
  <c r="J252" i="6" s="1"/>
  <c r="J253" i="6" s="1"/>
  <c r="G232" i="6"/>
  <c r="H231" i="6" s="1"/>
  <c r="H234" i="6" s="1"/>
  <c r="H215" i="6"/>
  <c r="I214" i="6" s="1"/>
  <c r="I217" i="6" s="1"/>
  <c r="H197" i="6"/>
  <c r="I196" i="6" s="1"/>
  <c r="I199" i="6" s="1"/>
  <c r="O248" i="6" l="1"/>
  <c r="N251" i="6"/>
  <c r="O213" i="6"/>
  <c r="N216" i="6"/>
  <c r="O195" i="6"/>
  <c r="N198" i="6"/>
  <c r="O230" i="6"/>
  <c r="O233" i="6" s="1"/>
  <c r="J250" i="6"/>
  <c r="K249" i="6" s="1"/>
  <c r="H235" i="6"/>
  <c r="I218" i="6"/>
  <c r="I200" i="6"/>
  <c r="P213" i="6" l="1"/>
  <c r="O216" i="6"/>
  <c r="P248" i="6"/>
  <c r="O251" i="6"/>
  <c r="P195" i="6"/>
  <c r="O198" i="6"/>
  <c r="P230" i="6"/>
  <c r="P233" i="6" s="1"/>
  <c r="K252" i="6"/>
  <c r="K253" i="6" s="1"/>
  <c r="H232" i="6"/>
  <c r="I231" i="6" s="1"/>
  <c r="I234" i="6" s="1"/>
  <c r="I215" i="6"/>
  <c r="J214" i="6" s="1"/>
  <c r="J217" i="6" s="1"/>
  <c r="I197" i="6"/>
  <c r="J196" i="6" s="1"/>
  <c r="J199" i="6" s="1"/>
  <c r="Q248" i="6" l="1"/>
  <c r="P251" i="6"/>
  <c r="Q213" i="6"/>
  <c r="P216" i="6"/>
  <c r="Q195" i="6"/>
  <c r="P198" i="6"/>
  <c r="Q230" i="6"/>
  <c r="Q233" i="6" s="1"/>
  <c r="K250" i="6"/>
  <c r="L249" i="6" s="1"/>
  <c r="I235" i="6"/>
  <c r="J218" i="6"/>
  <c r="J200" i="6"/>
  <c r="R213" i="6" l="1"/>
  <c r="Q216" i="6"/>
  <c r="R248" i="6"/>
  <c r="Q251" i="6"/>
  <c r="R195" i="6"/>
  <c r="Q198" i="6"/>
  <c r="R230" i="6"/>
  <c r="R233" i="6" s="1"/>
  <c r="I232" i="6"/>
  <c r="J231" i="6" s="1"/>
  <c r="J234" i="6" s="1"/>
  <c r="L252" i="6"/>
  <c r="L253" i="6" s="1"/>
  <c r="J215" i="6"/>
  <c r="K214" i="6" s="1"/>
  <c r="K217" i="6" s="1"/>
  <c r="J197" i="6"/>
  <c r="K196" i="6" s="1"/>
  <c r="K199" i="6" s="1"/>
  <c r="S248" i="6" l="1"/>
  <c r="R251" i="6"/>
  <c r="S213" i="6"/>
  <c r="R216" i="6"/>
  <c r="S195" i="6"/>
  <c r="R198" i="6"/>
  <c r="S230" i="6"/>
  <c r="S233" i="6" s="1"/>
  <c r="J235" i="6"/>
  <c r="L250" i="6"/>
  <c r="M249" i="6" s="1"/>
  <c r="M252" i="6" s="1"/>
  <c r="M253" i="6" s="1"/>
  <c r="J232" i="6"/>
  <c r="K231" i="6" s="1"/>
  <c r="K234" i="6" s="1"/>
  <c r="K218" i="6"/>
  <c r="K200" i="6"/>
  <c r="T213" i="6" l="1"/>
  <c r="S216" i="6"/>
  <c r="T248" i="6"/>
  <c r="S251" i="6"/>
  <c r="T195" i="6"/>
  <c r="S198" i="6"/>
  <c r="T230" i="6"/>
  <c r="T233" i="6" s="1"/>
  <c r="K215" i="6"/>
  <c r="L214" i="6" s="1"/>
  <c r="M250" i="6"/>
  <c r="N249" i="6" s="1"/>
  <c r="N252" i="6" s="1"/>
  <c r="N253" i="6" s="1"/>
  <c r="K235" i="6"/>
  <c r="K197" i="6"/>
  <c r="L196" i="6" s="1"/>
  <c r="L199" i="6" s="1"/>
  <c r="U248" i="6" l="1"/>
  <c r="T251" i="6"/>
  <c r="U213" i="6"/>
  <c r="T216" i="6"/>
  <c r="U195" i="6"/>
  <c r="T198" i="6"/>
  <c r="L217" i="6"/>
  <c r="L218" i="6" s="1"/>
  <c r="U230" i="6"/>
  <c r="U233" i="6" s="1"/>
  <c r="K232" i="6"/>
  <c r="L231" i="6" s="1"/>
  <c r="L234" i="6" s="1"/>
  <c r="N250" i="6"/>
  <c r="O249" i="6" s="1"/>
  <c r="L200" i="6"/>
  <c r="L215" i="6" l="1"/>
  <c r="M214" i="6" s="1"/>
  <c r="M217" i="6" s="1"/>
  <c r="M218" i="6" s="1"/>
  <c r="V213" i="6"/>
  <c r="U216" i="6"/>
  <c r="V248" i="6"/>
  <c r="U251" i="6"/>
  <c r="V195" i="6"/>
  <c r="U198" i="6"/>
  <c r="V230" i="6"/>
  <c r="V233" i="6" s="1"/>
  <c r="L235" i="6"/>
  <c r="L232" i="6"/>
  <c r="M231" i="6" s="1"/>
  <c r="M234" i="6" s="1"/>
  <c r="O252" i="6"/>
  <c r="O253" i="6" s="1"/>
  <c r="L197" i="6"/>
  <c r="M196" i="6" s="1"/>
  <c r="M199" i="6" s="1"/>
  <c r="M215" i="6" l="1"/>
  <c r="N214" i="6" s="1"/>
  <c r="N217" i="6" s="1"/>
  <c r="N218" i="6" s="1"/>
  <c r="W248" i="6"/>
  <c r="V251" i="6"/>
  <c r="W213" i="6"/>
  <c r="V216" i="6"/>
  <c r="W195" i="6"/>
  <c r="V198" i="6"/>
  <c r="W230" i="6"/>
  <c r="W233" i="6" s="1"/>
  <c r="M235" i="6"/>
  <c r="O250" i="6"/>
  <c r="P249" i="6" s="1"/>
  <c r="P252" i="6" s="1"/>
  <c r="P253" i="6" s="1"/>
  <c r="M200" i="6"/>
  <c r="X213" i="6" l="1"/>
  <c r="W216" i="6"/>
  <c r="X248" i="6"/>
  <c r="W251" i="6"/>
  <c r="X195" i="6"/>
  <c r="W198" i="6"/>
  <c r="X230" i="6"/>
  <c r="X233" i="6" s="1"/>
  <c r="M232" i="6"/>
  <c r="N231" i="6" s="1"/>
  <c r="M197" i="6"/>
  <c r="N196" i="6" s="1"/>
  <c r="P250" i="6"/>
  <c r="Q249" i="6" s="1"/>
  <c r="N215" i="6"/>
  <c r="O214" i="6" s="1"/>
  <c r="O217" i="6" s="1"/>
  <c r="Y248" i="6" l="1"/>
  <c r="X251" i="6"/>
  <c r="Y213" i="6"/>
  <c r="X216" i="6"/>
  <c r="Y195" i="6"/>
  <c r="X198" i="6"/>
  <c r="N234" i="6"/>
  <c r="N235" i="6" s="1"/>
  <c r="N199" i="6"/>
  <c r="N200" i="6" s="1"/>
  <c r="Y230" i="6"/>
  <c r="Y233" i="6" s="1"/>
  <c r="Q252" i="6"/>
  <c r="Q253" i="6" s="1"/>
  <c r="O218" i="6"/>
  <c r="Z213" i="6" l="1"/>
  <c r="Y216" i="6"/>
  <c r="Z248" i="6"/>
  <c r="Y251" i="6"/>
  <c r="N197" i="6"/>
  <c r="O196" i="6" s="1"/>
  <c r="O199" i="6" s="1"/>
  <c r="O200" i="6" s="1"/>
  <c r="Z195" i="6"/>
  <c r="Y198" i="6"/>
  <c r="N232" i="6"/>
  <c r="O231" i="6" s="1"/>
  <c r="O234" i="6" s="1"/>
  <c r="O235" i="6" s="1"/>
  <c r="Z230" i="6"/>
  <c r="Z233" i="6" s="1"/>
  <c r="Q250" i="6"/>
  <c r="R249" i="6" s="1"/>
  <c r="O215" i="6"/>
  <c r="P214" i="6" s="1"/>
  <c r="O197" i="6" l="1"/>
  <c r="P196" i="6" s="1"/>
  <c r="P199" i="6" s="1"/>
  <c r="AA248" i="6"/>
  <c r="Z251" i="6"/>
  <c r="O232" i="6"/>
  <c r="P231" i="6" s="1"/>
  <c r="P234" i="6" s="1"/>
  <c r="P235" i="6" s="1"/>
  <c r="AA213" i="6"/>
  <c r="Z216" i="6"/>
  <c r="AA195" i="6"/>
  <c r="Z198" i="6"/>
  <c r="P217" i="6"/>
  <c r="P218" i="6" s="1"/>
  <c r="AA230" i="6"/>
  <c r="AA233" i="6" s="1"/>
  <c r="R252" i="6"/>
  <c r="R253" i="6" s="1"/>
  <c r="P200" i="6"/>
  <c r="P215" i="6" l="1"/>
  <c r="Q214" i="6" s="1"/>
  <c r="Q217" i="6" s="1"/>
  <c r="Q218" i="6" s="1"/>
  <c r="AB213" i="6"/>
  <c r="AA216" i="6"/>
  <c r="AB248" i="6"/>
  <c r="AA251" i="6"/>
  <c r="AB195" i="6"/>
  <c r="AA198" i="6"/>
  <c r="AB230" i="6"/>
  <c r="AB233" i="6" s="1"/>
  <c r="R250" i="6"/>
  <c r="S249" i="6" s="1"/>
  <c r="S252" i="6" s="1"/>
  <c r="S253" i="6" s="1"/>
  <c r="P232" i="6"/>
  <c r="Q231" i="6" s="1"/>
  <c r="Q234" i="6" s="1"/>
  <c r="P197" i="6"/>
  <c r="Q196" i="6" s="1"/>
  <c r="Q199" i="6" s="1"/>
  <c r="Q215" i="6" l="1"/>
  <c r="R214" i="6" s="1"/>
  <c r="R217" i="6" s="1"/>
  <c r="R218" i="6" s="1"/>
  <c r="AC248" i="6"/>
  <c r="AB251" i="6"/>
  <c r="AC213" i="6"/>
  <c r="AB216" i="6"/>
  <c r="AC195" i="6"/>
  <c r="AB198" i="6"/>
  <c r="AC230" i="6"/>
  <c r="AC233" i="6" s="1"/>
  <c r="S250" i="6"/>
  <c r="T249" i="6" s="1"/>
  <c r="T252" i="6" s="1"/>
  <c r="T253" i="6" s="1"/>
  <c r="Q235" i="6"/>
  <c r="Q200" i="6"/>
  <c r="AD213" i="6" l="1"/>
  <c r="AC216" i="6"/>
  <c r="AD248" i="6"/>
  <c r="AC251" i="6"/>
  <c r="AD195" i="6"/>
  <c r="AC198" i="6"/>
  <c r="AD230" i="6"/>
  <c r="AD233" i="6" s="1"/>
  <c r="T250" i="6"/>
  <c r="U249" i="6" s="1"/>
  <c r="R215" i="6"/>
  <c r="S214" i="6" s="1"/>
  <c r="Q232" i="6"/>
  <c r="R231" i="6" s="1"/>
  <c r="R234" i="6" s="1"/>
  <c r="Q197" i="6"/>
  <c r="R196" i="6" s="1"/>
  <c r="R199" i="6" s="1"/>
  <c r="AE248" i="6" l="1"/>
  <c r="AE251" i="6" s="1"/>
  <c r="AD251" i="6"/>
  <c r="AE213" i="6"/>
  <c r="AE216" i="6" s="1"/>
  <c r="AD216" i="6"/>
  <c r="AE195" i="6"/>
  <c r="AE198" i="6" s="1"/>
  <c r="AD198" i="6"/>
  <c r="S217" i="6"/>
  <c r="S218" i="6" s="1"/>
  <c r="AE230" i="6"/>
  <c r="AE233" i="6" s="1"/>
  <c r="U252" i="6"/>
  <c r="U253" i="6" s="1"/>
  <c r="R235" i="6"/>
  <c r="R200" i="6"/>
  <c r="S215" i="6" l="1"/>
  <c r="T214" i="6" s="1"/>
  <c r="T217" i="6" s="1"/>
  <c r="T218" i="6" s="1"/>
  <c r="R232" i="6"/>
  <c r="S231" i="6" s="1"/>
  <c r="S234" i="6" s="1"/>
  <c r="U250" i="6"/>
  <c r="V249" i="6" s="1"/>
  <c r="R197" i="6"/>
  <c r="S196" i="6" s="1"/>
  <c r="S199" i="6" l="1"/>
  <c r="S200" i="6" s="1"/>
  <c r="S235" i="6"/>
  <c r="S232" i="6"/>
  <c r="T231" i="6" s="1"/>
  <c r="T234" i="6" s="1"/>
  <c r="V252" i="6"/>
  <c r="V253" i="6" s="1"/>
  <c r="T215" i="6"/>
  <c r="U214" i="6" s="1"/>
  <c r="U217" i="6" s="1"/>
  <c r="S197" i="6" l="1"/>
  <c r="T196" i="6" s="1"/>
  <c r="T199" i="6" s="1"/>
  <c r="T235" i="6"/>
  <c r="T232" i="6"/>
  <c r="U231" i="6" s="1"/>
  <c r="U234" i="6" s="1"/>
  <c r="V250" i="6"/>
  <c r="W249" i="6" s="1"/>
  <c r="U218" i="6"/>
  <c r="T200" i="6" l="1"/>
  <c r="T197" i="6"/>
  <c r="U196" i="6" s="1"/>
  <c r="U199" i="6" s="1"/>
  <c r="U235" i="6"/>
  <c r="W252" i="6"/>
  <c r="W253" i="6" s="1"/>
  <c r="U232" i="6"/>
  <c r="V231" i="6" s="1"/>
  <c r="V234" i="6" s="1"/>
  <c r="U215" i="6"/>
  <c r="V214" i="6" s="1"/>
  <c r="V217" i="6" s="1"/>
  <c r="U200" i="6" l="1"/>
  <c r="U197" i="6"/>
  <c r="V196" i="6" s="1"/>
  <c r="V199" i="6" s="1"/>
  <c r="V200" i="6" s="1"/>
  <c r="W250" i="6"/>
  <c r="X249" i="6" s="1"/>
  <c r="V235" i="6"/>
  <c r="V218" i="6"/>
  <c r="V197" i="6" l="1"/>
  <c r="W196" i="6" s="1"/>
  <c r="W199" i="6" s="1"/>
  <c r="W200" i="6" s="1"/>
  <c r="V232" i="6"/>
  <c r="W231" i="6" s="1"/>
  <c r="W234" i="6" s="1"/>
  <c r="X252" i="6"/>
  <c r="X253" i="6" s="1"/>
  <c r="V215" i="6"/>
  <c r="W214" i="6" s="1"/>
  <c r="W217" i="6" s="1"/>
  <c r="W235" i="6" l="1"/>
  <c r="X250" i="6"/>
  <c r="Y249" i="6" s="1"/>
  <c r="W232" i="6"/>
  <c r="X231" i="6" s="1"/>
  <c r="X234" i="6" s="1"/>
  <c r="W218" i="6"/>
  <c r="W197" i="6"/>
  <c r="X196" i="6" s="1"/>
  <c r="X199" i="6" l="1"/>
  <c r="X200" i="6" s="1"/>
  <c r="Y252" i="6"/>
  <c r="Y253" i="6" s="1"/>
  <c r="W215" i="6"/>
  <c r="X214" i="6" s="1"/>
  <c r="X235" i="6"/>
  <c r="X197" i="6" l="1"/>
  <c r="Y196" i="6" s="1"/>
  <c r="Y199" i="6" s="1"/>
  <c r="Y200" i="6" s="1"/>
  <c r="X217" i="6"/>
  <c r="X218" i="6" s="1"/>
  <c r="Y250" i="6"/>
  <c r="Z249" i="6" s="1"/>
  <c r="Z252" i="6" s="1"/>
  <c r="Z253" i="6" s="1"/>
  <c r="X232" i="6"/>
  <c r="Y231" i="6" s="1"/>
  <c r="Y234" i="6" s="1"/>
  <c r="X215" i="6" l="1"/>
  <c r="Y214" i="6" s="1"/>
  <c r="Y217" i="6" s="1"/>
  <c r="Y218" i="6" s="1"/>
  <c r="Y197" i="6"/>
  <c r="Z196" i="6" s="1"/>
  <c r="Z250" i="6"/>
  <c r="AA249" i="6" s="1"/>
  <c r="Y235" i="6"/>
  <c r="Z199" i="6" l="1"/>
  <c r="Z200" i="6" s="1"/>
  <c r="AA252" i="6"/>
  <c r="AA253" i="6" s="1"/>
  <c r="Y232" i="6"/>
  <c r="Z231" i="6" s="1"/>
  <c r="Z234" i="6" s="1"/>
  <c r="Y215" i="6"/>
  <c r="Z214" i="6" s="1"/>
  <c r="Z217" i="6" s="1"/>
  <c r="Z197" i="6" l="1"/>
  <c r="AA196" i="6" s="1"/>
  <c r="AA199" i="6" s="1"/>
  <c r="AA200" i="6" s="1"/>
  <c r="AA250" i="6"/>
  <c r="AB249" i="6" s="1"/>
  <c r="AB252" i="6" s="1"/>
  <c r="AB253" i="6" s="1"/>
  <c r="Z235" i="6"/>
  <c r="Z218" i="6"/>
  <c r="AB250" i="6" l="1"/>
  <c r="AC249" i="6" s="1"/>
  <c r="AC252" i="6" s="1"/>
  <c r="AC253" i="6" s="1"/>
  <c r="Z215" i="6"/>
  <c r="AA214" i="6" s="1"/>
  <c r="Z232" i="6"/>
  <c r="AA231" i="6" s="1"/>
  <c r="AA234" i="6" s="1"/>
  <c r="AA197" i="6"/>
  <c r="AB196" i="6" s="1"/>
  <c r="AB199" i="6" l="1"/>
  <c r="AB200" i="6" s="1"/>
  <c r="AA217" i="6"/>
  <c r="AA218" i="6" s="1"/>
  <c r="AC250" i="6"/>
  <c r="AD249" i="6" s="1"/>
  <c r="AA235" i="6"/>
  <c r="AA215" i="6" l="1"/>
  <c r="AB214" i="6" s="1"/>
  <c r="AB217" i="6" s="1"/>
  <c r="AB218" i="6" s="1"/>
  <c r="AB197" i="6"/>
  <c r="AC196" i="6" s="1"/>
  <c r="AC199" i="6" s="1"/>
  <c r="AC200" i="6" s="1"/>
  <c r="AD252" i="6"/>
  <c r="AD253" i="6" s="1"/>
  <c r="AA232" i="6"/>
  <c r="AB231" i="6" s="1"/>
  <c r="AB234" i="6" s="1"/>
  <c r="AB215" i="6" l="1"/>
  <c r="AC214" i="6" s="1"/>
  <c r="AC217" i="6" s="1"/>
  <c r="AC218" i="6" s="1"/>
  <c r="AD250" i="6"/>
  <c r="AE249" i="6" s="1"/>
  <c r="AE252" i="6" s="1"/>
  <c r="AE253" i="6" s="1"/>
  <c r="AC197" i="6"/>
  <c r="AD196" i="6" s="1"/>
  <c r="AB235" i="6"/>
  <c r="AC215" i="6" l="1"/>
  <c r="AD214" i="6" s="1"/>
  <c r="AD217" i="6" s="1"/>
  <c r="AD218" i="6" s="1"/>
  <c r="AD199" i="6"/>
  <c r="AD200" i="6" s="1"/>
  <c r="AB232" i="6"/>
  <c r="AC231" i="6" s="1"/>
  <c r="AC234" i="6" s="1"/>
  <c r="AE250" i="6"/>
  <c r="AD197" i="6" l="1"/>
  <c r="AE196" i="6" s="1"/>
  <c r="AE199" i="6" s="1"/>
  <c r="AE200" i="6" s="1"/>
  <c r="AD215" i="6"/>
  <c r="AE214" i="6" s="1"/>
  <c r="AE217" i="6" s="1"/>
  <c r="AE218" i="6" s="1"/>
  <c r="AC235" i="6"/>
  <c r="AC232" i="6"/>
  <c r="AD231" i="6" s="1"/>
  <c r="AD234" i="6" s="1"/>
  <c r="AE197" i="6" l="1"/>
  <c r="AE215" i="6"/>
  <c r="AD235" i="6"/>
  <c r="AD232" i="6" l="1"/>
  <c r="AE231" i="6" s="1"/>
  <c r="AE234" i="6" s="1"/>
  <c r="AE232" i="6" l="1"/>
  <c r="B1" i="7"/>
  <c r="B1" i="5"/>
  <c r="B1" i="6"/>
  <c r="B1" i="4"/>
  <c r="B1" i="9"/>
  <c r="B1" i="3"/>
  <c r="B1" i="2"/>
  <c r="A1" i="7"/>
  <c r="A1" i="6"/>
  <c r="A1" i="5"/>
  <c r="A1" i="4"/>
  <c r="A1" i="9"/>
  <c r="A1" i="3"/>
  <c r="K8" i="3" l="1"/>
  <c r="K10" i="3"/>
  <c r="K11" i="3"/>
  <c r="K12" i="3"/>
  <c r="K4" i="3"/>
  <c r="K13" i="3"/>
  <c r="K5" i="3"/>
  <c r="K9" i="3"/>
  <c r="K6" i="3"/>
  <c r="K7" i="3"/>
  <c r="AE235" i="6"/>
  <c r="C82" i="1"/>
  <c r="D8" i="11"/>
  <c r="E15" i="19" s="1"/>
  <c r="I27" i="11" l="1"/>
  <c r="I19" i="11"/>
  <c r="C6" i="11"/>
  <c r="D82" i="1" l="1"/>
  <c r="E88" i="2" l="1"/>
  <c r="E89" i="2"/>
  <c r="E90" i="2"/>
  <c r="D89" i="2"/>
  <c r="D90" i="2"/>
  <c r="E82" i="2"/>
  <c r="E81" i="2"/>
  <c r="D82" i="2"/>
  <c r="D81" i="2"/>
  <c r="D86" i="2"/>
  <c r="E72" i="2"/>
  <c r="E74" i="2"/>
  <c r="E73" i="2"/>
  <c r="D73" i="2"/>
  <c r="D72" i="2"/>
  <c r="D74" i="2"/>
  <c r="E32" i="2"/>
  <c r="E29" i="2"/>
  <c r="E31" i="2"/>
  <c r="E30" i="2"/>
  <c r="D32" i="2"/>
  <c r="D31" i="2"/>
  <c r="D29" i="2"/>
  <c r="D30" i="2"/>
  <c r="E12" i="2"/>
  <c r="E11" i="2"/>
  <c r="D11" i="2"/>
  <c r="E80" i="2"/>
  <c r="E10" i="2"/>
  <c r="D80" i="2"/>
  <c r="D10" i="2"/>
  <c r="D5" i="2"/>
  <c r="D15" i="2"/>
  <c r="C2" i="2"/>
  <c r="E18" i="2"/>
  <c r="Q47" i="5"/>
  <c r="P47" i="5"/>
  <c r="O47" i="5"/>
  <c r="N47" i="5"/>
  <c r="M47" i="5"/>
  <c r="L47" i="5"/>
  <c r="K47" i="5"/>
  <c r="J47" i="5"/>
  <c r="I47" i="5"/>
  <c r="H47" i="5"/>
  <c r="G47" i="5"/>
  <c r="F47" i="5"/>
  <c r="E47" i="5"/>
  <c r="D47" i="5"/>
  <c r="C47" i="5"/>
  <c r="H4" i="2"/>
  <c r="H94" i="2" s="1"/>
  <c r="U81" i="9" l="1"/>
  <c r="U82" i="9"/>
  <c r="U83" i="9"/>
  <c r="U84" i="9"/>
  <c r="U85" i="9"/>
  <c r="U86" i="9"/>
  <c r="D22" i="2" l="1"/>
  <c r="E22" i="2"/>
  <c r="AM82" i="9"/>
  <c r="AM83" i="9"/>
  <c r="AM84" i="9"/>
  <c r="AM85" i="9"/>
  <c r="AM86" i="9"/>
  <c r="AM87" i="9"/>
  <c r="AM88" i="9"/>
  <c r="AM89" i="9"/>
  <c r="AM90" i="9"/>
  <c r="AM91" i="9"/>
  <c r="AM92" i="9"/>
  <c r="AM93" i="9"/>
  <c r="AM94" i="9"/>
  <c r="AM95" i="9"/>
  <c r="AM96" i="9"/>
  <c r="AM97" i="9"/>
  <c r="AM98" i="9"/>
  <c r="AM99" i="9"/>
  <c r="AN101" i="9" s="1"/>
  <c r="AM101" i="9" l="1"/>
  <c r="E14" i="19" s="1"/>
  <c r="B81" i="7"/>
  <c r="B7" i="7"/>
  <c r="D81" i="1" l="1"/>
  <c r="D83" i="1" s="1"/>
  <c r="F88" i="7" l="1"/>
  <c r="C23" i="3"/>
  <c r="C57" i="4" l="1"/>
  <c r="C41" i="4"/>
  <c r="C48" i="4"/>
  <c r="C32" i="4"/>
  <c r="C15" i="4"/>
  <c r="C14" i="4"/>
  <c r="C13" i="4"/>
  <c r="C12" i="4"/>
  <c r="C11" i="4"/>
  <c r="C10" i="4"/>
  <c r="C8" i="4"/>
  <c r="C7" i="4"/>
  <c r="C6" i="4"/>
  <c r="C5" i="4"/>
  <c r="G9" i="3" l="1"/>
  <c r="G8" i="3"/>
  <c r="G7" i="3"/>
  <c r="E85" i="2"/>
  <c r="D85" i="2"/>
  <c r="C91" i="18"/>
  <c r="C83" i="18"/>
  <c r="A20" i="2"/>
  <c r="E7" i="2"/>
  <c r="E75" i="1"/>
  <c r="G11" i="3" l="1"/>
  <c r="AH54" i="7"/>
  <c r="C13" i="18"/>
  <c r="C92" i="2"/>
  <c r="A22" i="2"/>
  <c r="A23" i="2"/>
  <c r="A21" i="2"/>
  <c r="B61" i="1"/>
  <c r="C61" i="1" s="1"/>
  <c r="R105" i="9"/>
  <c r="G21" i="3"/>
  <c r="D7" i="2"/>
  <c r="E86" i="2"/>
  <c r="U93" i="9"/>
  <c r="U92" i="9"/>
  <c r="U91" i="9"/>
  <c r="U90" i="9"/>
  <c r="U89" i="9"/>
  <c r="U88" i="9"/>
  <c r="U87" i="9"/>
  <c r="G25" i="3" l="1"/>
  <c r="E12" i="19"/>
  <c r="G65" i="2"/>
  <c r="G64" i="2"/>
  <c r="G39" i="2"/>
  <c r="G41" i="2"/>
  <c r="G59" i="2"/>
  <c r="G58" i="2"/>
  <c r="G57" i="2"/>
  <c r="G47" i="2"/>
  <c r="G62" i="2"/>
  <c r="G38" i="2"/>
  <c r="G52" i="2"/>
  <c r="G54" i="2"/>
  <c r="G46" i="2"/>
  <c r="G43" i="2"/>
  <c r="G50" i="2"/>
  <c r="G56" i="2"/>
  <c r="G44" i="2"/>
  <c r="G45" i="2"/>
  <c r="G55" i="2"/>
  <c r="G60" i="2"/>
  <c r="G51" i="2"/>
  <c r="G42" i="2"/>
  <c r="G63" i="2"/>
  <c r="G48" i="2"/>
  <c r="G61" i="2"/>
  <c r="G40" i="2"/>
  <c r="G53" i="2"/>
  <c r="G49" i="2"/>
  <c r="G37" i="2"/>
  <c r="C13" i="19"/>
  <c r="C92" i="18"/>
  <c r="C93" i="2"/>
  <c r="AT93" i="2" s="1"/>
  <c r="G10" i="2"/>
  <c r="G89" i="2"/>
  <c r="G90" i="2"/>
  <c r="G71" i="2"/>
  <c r="G31" i="2"/>
  <c r="G30" i="2"/>
  <c r="G32" i="2"/>
  <c r="G12" i="2"/>
  <c r="G29" i="2"/>
  <c r="G11" i="2"/>
  <c r="G72" i="2"/>
  <c r="G82" i="2"/>
  <c r="G81" i="2"/>
  <c r="G74" i="2"/>
  <c r="G73" i="2"/>
  <c r="G80" i="2"/>
  <c r="G9" i="2"/>
  <c r="G70" i="2"/>
  <c r="G77" i="2"/>
  <c r="G8" i="2"/>
  <c r="G24" i="2"/>
  <c r="G23" i="2"/>
  <c r="G21" i="2"/>
  <c r="G15" i="2"/>
  <c r="G26" i="2"/>
  <c r="G27" i="2"/>
  <c r="G20" i="2"/>
  <c r="G36" i="2"/>
  <c r="G88" i="2"/>
  <c r="G22" i="2"/>
  <c r="G69" i="2"/>
  <c r="G18" i="2"/>
  <c r="G68" i="2"/>
  <c r="G87" i="2"/>
  <c r="G79" i="2"/>
  <c r="G86" i="2"/>
  <c r="G16" i="2"/>
  <c r="G28" i="2"/>
  <c r="G17" i="2"/>
  <c r="G6" i="2"/>
  <c r="G25" i="2"/>
  <c r="G7" i="2"/>
  <c r="G5" i="2"/>
  <c r="G85" i="2"/>
  <c r="G19" i="2"/>
  <c r="G78" i="2"/>
  <c r="C96" i="2" l="1"/>
  <c r="B64" i="1"/>
  <c r="C110" i="18"/>
  <c r="C111" i="18" s="1"/>
  <c r="G33" i="2"/>
  <c r="G13" i="2"/>
  <c r="G34" i="2" s="1"/>
  <c r="C9" i="19"/>
  <c r="C55" i="1"/>
  <c r="C56" i="1"/>
  <c r="C93" i="18"/>
  <c r="G93" i="2"/>
  <c r="D78" i="1"/>
  <c r="C58" i="1" l="1"/>
  <c r="C11" i="19"/>
  <c r="C10" i="19"/>
  <c r="D77" i="1"/>
  <c r="D79" i="1" l="1"/>
  <c r="D85" i="1" s="1"/>
  <c r="C100" i="18" s="1"/>
  <c r="D88" i="2"/>
  <c r="E87" i="2"/>
  <c r="E91" i="2" s="1"/>
  <c r="D87" i="2"/>
  <c r="E79" i="2"/>
  <c r="D79" i="2"/>
  <c r="E78" i="2"/>
  <c r="D78" i="2"/>
  <c r="E71" i="2"/>
  <c r="D71" i="2"/>
  <c r="E70" i="2"/>
  <c r="D70" i="2"/>
  <c r="E69" i="2"/>
  <c r="D69" i="2"/>
  <c r="E68" i="2"/>
  <c r="E75" i="2" s="1"/>
  <c r="D68" i="2"/>
  <c r="E36" i="2"/>
  <c r="E66" i="2" s="1"/>
  <c r="D36" i="2"/>
  <c r="D66" i="2" s="1"/>
  <c r="E28" i="2"/>
  <c r="D28" i="2"/>
  <c r="E27" i="2"/>
  <c r="D27" i="2"/>
  <c r="E26" i="2"/>
  <c r="D26" i="2"/>
  <c r="E25" i="2"/>
  <c r="D25" i="2"/>
  <c r="E24" i="2"/>
  <c r="D24" i="2"/>
  <c r="E23" i="2"/>
  <c r="D23" i="2"/>
  <c r="E21" i="2"/>
  <c r="D21" i="2"/>
  <c r="E20" i="2"/>
  <c r="D20" i="2"/>
  <c r="D18" i="2"/>
  <c r="E17" i="2"/>
  <c r="E9" i="2"/>
  <c r="D9" i="2"/>
  <c r="E8" i="2"/>
  <c r="D8" i="2"/>
  <c r="E6" i="2"/>
  <c r="D6" i="2"/>
  <c r="E5" i="2"/>
  <c r="E19" i="19" l="1"/>
  <c r="X100" i="18"/>
  <c r="X101" i="18" s="1"/>
  <c r="X104" i="18" s="1"/>
  <c r="H100" i="18"/>
  <c r="H101" i="18" s="1"/>
  <c r="H104" i="18" s="1"/>
  <c r="F100" i="18"/>
  <c r="F101" i="18" s="1"/>
  <c r="F104" i="18" s="1"/>
  <c r="D100" i="18"/>
  <c r="D101" i="18" s="1"/>
  <c r="D104" i="18" s="1"/>
  <c r="W100" i="18"/>
  <c r="W101" i="18" s="1"/>
  <c r="W104" i="18" s="1"/>
  <c r="Y100" i="18"/>
  <c r="T100" i="18"/>
  <c r="T101" i="18" s="1"/>
  <c r="T104" i="18" s="1"/>
  <c r="V100" i="18"/>
  <c r="V101" i="18" s="1"/>
  <c r="V104" i="18" s="1"/>
  <c r="L100" i="18"/>
  <c r="L101" i="18" s="1"/>
  <c r="L104" i="18" s="1"/>
  <c r="N100" i="18"/>
  <c r="N101" i="18" s="1"/>
  <c r="N104" i="18" s="1"/>
  <c r="R100" i="18"/>
  <c r="R101" i="18" s="1"/>
  <c r="R104" i="18" s="1"/>
  <c r="J100" i="18"/>
  <c r="J101" i="18" s="1"/>
  <c r="J104" i="18" s="1"/>
  <c r="E33" i="2"/>
  <c r="D33" i="2"/>
  <c r="P100" i="18"/>
  <c r="P101" i="18" s="1"/>
  <c r="P104" i="18" s="1"/>
  <c r="E13" i="2"/>
  <c r="E34" i="2" s="1"/>
  <c r="D13" i="2"/>
  <c r="D75" i="2"/>
  <c r="D91" i="2"/>
  <c r="Y101" i="18" l="1"/>
  <c r="Y104" i="18" s="1"/>
  <c r="D34" i="2"/>
  <c r="D77" i="2"/>
  <c r="D83" i="2" s="1"/>
  <c r="E77" i="2"/>
  <c r="E83" i="2" s="1"/>
  <c r="E92" i="2" s="1"/>
  <c r="D92" i="2" l="1"/>
  <c r="E93" i="2"/>
  <c r="C37" i="5"/>
  <c r="D93" i="2" l="1"/>
  <c r="P70" i="3"/>
  <c r="O70" i="3"/>
  <c r="N70" i="3"/>
  <c r="M70" i="3"/>
  <c r="J70" i="3"/>
  <c r="K70" i="3"/>
  <c r="I70" i="3"/>
  <c r="H70" i="3"/>
  <c r="G70" i="3"/>
  <c r="F70" i="3"/>
  <c r="B5" i="1" l="1"/>
  <c r="B6" i="1" s="1"/>
  <c r="U99" i="9" l="1"/>
  <c r="U98" i="9"/>
  <c r="U97" i="9"/>
  <c r="U96" i="9"/>
  <c r="U95" i="9"/>
  <c r="U94" i="9"/>
  <c r="C11" i="5" l="1"/>
  <c r="D11" i="5" s="1"/>
  <c r="D39" i="5" s="1"/>
  <c r="C59" i="4"/>
  <c r="C60" i="4"/>
  <c r="C62" i="4"/>
  <c r="C58" i="4"/>
  <c r="C46" i="4"/>
  <c r="C47" i="4"/>
  <c r="C42" i="4"/>
  <c r="C45" i="4"/>
  <c r="C53" i="4"/>
  <c r="C43" i="4"/>
  <c r="C9" i="4"/>
  <c r="C46" i="5" l="1"/>
  <c r="C26" i="4"/>
  <c r="AT77" i="2"/>
  <c r="C66" i="4"/>
  <c r="C38" i="5"/>
  <c r="D6" i="5"/>
  <c r="E6" i="5" s="1"/>
  <c r="F6" i="5" s="1"/>
  <c r="G6" i="5" s="1"/>
  <c r="H6" i="5" s="1"/>
  <c r="I6" i="5" s="1"/>
  <c r="J6" i="5" s="1"/>
  <c r="B7" i="6"/>
  <c r="B8" i="6"/>
  <c r="C160" i="6"/>
  <c r="C163" i="6" s="1"/>
  <c r="C12" i="6"/>
  <c r="D12" i="6" s="1"/>
  <c r="E12" i="6" s="1"/>
  <c r="F12" i="6" s="1"/>
  <c r="G12" i="6" s="1"/>
  <c r="H12" i="6" s="1"/>
  <c r="I12" i="6" s="1"/>
  <c r="J12" i="6" s="1"/>
  <c r="K12" i="6" s="1"/>
  <c r="L12" i="6" s="1"/>
  <c r="M12" i="6" s="1"/>
  <c r="N12" i="6" s="1"/>
  <c r="O12" i="6" s="1"/>
  <c r="P12" i="6" s="1"/>
  <c r="Q12" i="6" s="1"/>
  <c r="B178" i="6"/>
  <c r="A3" i="6"/>
  <c r="C177" i="6"/>
  <c r="B62" i="1"/>
  <c r="D21" i="3"/>
  <c r="D11" i="3"/>
  <c r="D2" i="5"/>
  <c r="D67" i="5"/>
  <c r="E67" i="5" s="1"/>
  <c r="F67" i="5" s="1"/>
  <c r="G67" i="5" s="1"/>
  <c r="H67" i="5" s="1"/>
  <c r="I67" i="5" s="1"/>
  <c r="J67" i="5" s="1"/>
  <c r="K67" i="5" s="1"/>
  <c r="L67" i="5" s="1"/>
  <c r="M67" i="5" s="1"/>
  <c r="N67" i="5" s="1"/>
  <c r="O67" i="5" s="1"/>
  <c r="P67" i="5" s="1"/>
  <c r="Q67" i="5" s="1"/>
  <c r="D44" i="5"/>
  <c r="E44" i="5" s="1"/>
  <c r="F44" i="5" s="1"/>
  <c r="G44" i="5" s="1"/>
  <c r="H44" i="5" s="1"/>
  <c r="I44" i="5" s="1"/>
  <c r="J44" i="5" s="1"/>
  <c r="K44" i="5" s="1"/>
  <c r="L44" i="5" s="1"/>
  <c r="M44" i="5" s="1"/>
  <c r="N44" i="5" s="1"/>
  <c r="O44" i="5" s="1"/>
  <c r="P44" i="5" s="1"/>
  <c r="Q44" i="5" s="1"/>
  <c r="AA1" i="5"/>
  <c r="C61" i="4"/>
  <c r="C30" i="4"/>
  <c r="C70" i="4"/>
  <c r="C72" i="4"/>
  <c r="C77" i="4"/>
  <c r="C44" i="4"/>
  <c r="C31" i="4"/>
  <c r="C29" i="4"/>
  <c r="C25" i="4"/>
  <c r="B16" i="7"/>
  <c r="D84" i="7"/>
  <c r="AH84" i="7" s="1"/>
  <c r="D83" i="7"/>
  <c r="AH83" i="7" s="1"/>
  <c r="D82" i="7"/>
  <c r="AH82" i="7" s="1"/>
  <c r="D77" i="7"/>
  <c r="AH77" i="7" s="1"/>
  <c r="D76" i="7"/>
  <c r="AH76" i="7" s="1"/>
  <c r="D75" i="7"/>
  <c r="AH75" i="7" s="1"/>
  <c r="AH70" i="7"/>
  <c r="AH69" i="7"/>
  <c r="AH68" i="7"/>
  <c r="D67" i="7"/>
  <c r="AH67" i="7" s="1"/>
  <c r="AH53" i="7"/>
  <c r="AH52" i="7"/>
  <c r="AH51" i="7"/>
  <c r="AH50" i="7"/>
  <c r="AH49" i="7"/>
  <c r="AH48" i="7"/>
  <c r="AH47" i="7"/>
  <c r="AH46" i="7"/>
  <c r="AH45" i="7"/>
  <c r="AH44" i="7"/>
  <c r="AH43" i="7"/>
  <c r="AH42" i="7"/>
  <c r="AH41" i="7"/>
  <c r="AH40" i="7"/>
  <c r="AH39" i="7"/>
  <c r="AH38" i="7"/>
  <c r="AH37" i="7"/>
  <c r="D36" i="7"/>
  <c r="AH36" i="7" s="1"/>
  <c r="D8" i="7"/>
  <c r="B66" i="7"/>
  <c r="B85" i="7"/>
  <c r="D85" i="7"/>
  <c r="AH85" i="7" s="1"/>
  <c r="B75" i="7"/>
  <c r="B76" i="7"/>
  <c r="B77" i="7"/>
  <c r="B82" i="7"/>
  <c r="B83" i="7"/>
  <c r="B84" i="7"/>
  <c r="B67" i="7"/>
  <c r="B74" i="7"/>
  <c r="B36" i="7"/>
  <c r="B9" i="7"/>
  <c r="D9" i="7"/>
  <c r="AH9" i="7" s="1"/>
  <c r="B10" i="7"/>
  <c r="D10" i="7"/>
  <c r="AH10" i="7" s="1"/>
  <c r="B11" i="7"/>
  <c r="D11" i="7"/>
  <c r="AH11" i="7" s="1"/>
  <c r="B12" i="7"/>
  <c r="D12" i="7"/>
  <c r="AH12" i="7" s="1"/>
  <c r="B17" i="7"/>
  <c r="AH18" i="7"/>
  <c r="AH19" i="7"/>
  <c r="AH20" i="7"/>
  <c r="AH21" i="7"/>
  <c r="AH22" i="7"/>
  <c r="AH23" i="7"/>
  <c r="AH24" i="7"/>
  <c r="AH25" i="7"/>
  <c r="AH26" i="7"/>
  <c r="AH27" i="7"/>
  <c r="AH28" i="7"/>
  <c r="AH29" i="7"/>
  <c r="B35" i="7"/>
  <c r="B8" i="7"/>
  <c r="AT8" i="2"/>
  <c r="AT9" i="2"/>
  <c r="AT36" i="2"/>
  <c r="AT69" i="2"/>
  <c r="AT70" i="2"/>
  <c r="AT71" i="2"/>
  <c r="AT78" i="2"/>
  <c r="AT79" i="2"/>
  <c r="AT85" i="2"/>
  <c r="AT86" i="2"/>
  <c r="AT87" i="2"/>
  <c r="AH77" i="6" l="1"/>
  <c r="AH79" i="6" s="1"/>
  <c r="AJ77" i="6"/>
  <c r="AJ79" i="6" s="1"/>
  <c r="AO77" i="6"/>
  <c r="AO79" i="6" s="1"/>
  <c r="AG77" i="6"/>
  <c r="AG79" i="6" s="1"/>
  <c r="AL77" i="6"/>
  <c r="AL79" i="6" s="1"/>
  <c r="AN77" i="6"/>
  <c r="AN79" i="6" s="1"/>
  <c r="AF77" i="6"/>
  <c r="AF79" i="6" s="1"/>
  <c r="AM77" i="6"/>
  <c r="AM79" i="6" s="1"/>
  <c r="AK77" i="6"/>
  <c r="AK79" i="6" s="1"/>
  <c r="AI77" i="6"/>
  <c r="AI79" i="6" s="1"/>
  <c r="D29" i="6"/>
  <c r="AF61" i="6"/>
  <c r="AF63" i="6" s="1"/>
  <c r="AG61" i="6"/>
  <c r="AG63" i="6" s="1"/>
  <c r="AH61" i="6"/>
  <c r="AH63" i="6" s="1"/>
  <c r="AI61" i="6"/>
  <c r="AI63" i="6" s="1"/>
  <c r="AJ61" i="6"/>
  <c r="AJ63" i="6" s="1"/>
  <c r="AK61" i="6"/>
  <c r="AK63" i="6" s="1"/>
  <c r="AL61" i="6"/>
  <c r="AL63" i="6" s="1"/>
  <c r="AM61" i="6"/>
  <c r="AM63" i="6" s="1"/>
  <c r="AN61" i="6"/>
  <c r="AN63" i="6" s="1"/>
  <c r="AO61" i="6"/>
  <c r="AO63" i="6" s="1"/>
  <c r="AH29" i="6"/>
  <c r="AH31" i="6" s="1"/>
  <c r="Z29" i="6"/>
  <c r="R29" i="6"/>
  <c r="J29" i="6"/>
  <c r="AN29" i="6"/>
  <c r="AN31" i="6" s="1"/>
  <c r="X29" i="6"/>
  <c r="H29" i="6"/>
  <c r="AJ29" i="6"/>
  <c r="AJ31" i="6" s="1"/>
  <c r="K29" i="6"/>
  <c r="AO29" i="6"/>
  <c r="AG29" i="6"/>
  <c r="AG31" i="6" s="1"/>
  <c r="Y29" i="6"/>
  <c r="Q29" i="6"/>
  <c r="Q32" i="6" s="1"/>
  <c r="I29" i="6"/>
  <c r="AF29" i="6"/>
  <c r="AF31" i="6" s="1"/>
  <c r="P29" i="6"/>
  <c r="AA29" i="6"/>
  <c r="AM29" i="6"/>
  <c r="AM31" i="6" s="1"/>
  <c r="AE29" i="6"/>
  <c r="W29" i="6"/>
  <c r="O29" i="6"/>
  <c r="G29" i="6"/>
  <c r="AC29" i="6"/>
  <c r="M29" i="6"/>
  <c r="T29" i="6"/>
  <c r="AI29" i="6"/>
  <c r="AI31" i="6" s="1"/>
  <c r="AL29" i="6"/>
  <c r="AL31" i="6" s="1"/>
  <c r="AD29" i="6"/>
  <c r="V29" i="6"/>
  <c r="N29" i="6"/>
  <c r="F29" i="6"/>
  <c r="AK29" i="6"/>
  <c r="AK31" i="6" s="1"/>
  <c r="U29" i="6"/>
  <c r="E29" i="6"/>
  <c r="AB29" i="6"/>
  <c r="L29" i="6"/>
  <c r="S29" i="6"/>
  <c r="D89" i="7"/>
  <c r="K6" i="5"/>
  <c r="L6" i="5" s="1"/>
  <c r="M6" i="5" s="1"/>
  <c r="N6" i="5" s="1"/>
  <c r="O6" i="5" s="1"/>
  <c r="P6" i="5" s="1"/>
  <c r="Q6" i="5" s="1"/>
  <c r="R6" i="5" s="1"/>
  <c r="S6" i="5" s="1"/>
  <c r="T6" i="5" s="1"/>
  <c r="U6" i="5" s="1"/>
  <c r="V6" i="5" s="1"/>
  <c r="W6" i="5" s="1"/>
  <c r="X6" i="5" s="1"/>
  <c r="Y6" i="5" s="1"/>
  <c r="Z6" i="5" s="1"/>
  <c r="AA6" i="5" s="1"/>
  <c r="AB6" i="5" s="1"/>
  <c r="AC6" i="5" s="1"/>
  <c r="AD6" i="5" s="1"/>
  <c r="AE6" i="5" s="1"/>
  <c r="AF6" i="5" s="1"/>
  <c r="D22" i="4"/>
  <c r="E38" i="4"/>
  <c r="D38" i="4"/>
  <c r="C103" i="2"/>
  <c r="D62" i="4"/>
  <c r="AH8" i="7"/>
  <c r="C147" i="6"/>
  <c r="C148" i="6" s="1"/>
  <c r="D147" i="6"/>
  <c r="D148" i="6" s="1"/>
  <c r="E147" i="6"/>
  <c r="E148" i="6" s="1"/>
  <c r="F147" i="6"/>
  <c r="F148" i="6" s="1"/>
  <c r="G147" i="6"/>
  <c r="G148" i="6" s="1"/>
  <c r="H147" i="6"/>
  <c r="H148" i="6" s="1"/>
  <c r="I147" i="6"/>
  <c r="I148" i="6" s="1"/>
  <c r="J147" i="6"/>
  <c r="J148" i="6" s="1"/>
  <c r="K147" i="6"/>
  <c r="K148" i="6" s="1"/>
  <c r="L147" i="6"/>
  <c r="L148" i="6" s="1"/>
  <c r="M147" i="6"/>
  <c r="M148" i="6" s="1"/>
  <c r="N147" i="6"/>
  <c r="N148" i="6" s="1"/>
  <c r="O147" i="6"/>
  <c r="O148" i="6" s="1"/>
  <c r="P147" i="6"/>
  <c r="P148" i="6" s="1"/>
  <c r="Q147" i="6"/>
  <c r="Q148" i="6" s="1"/>
  <c r="R147" i="6"/>
  <c r="R148" i="6" s="1"/>
  <c r="S147" i="6"/>
  <c r="S148" i="6" s="1"/>
  <c r="T147" i="6"/>
  <c r="T148" i="6" s="1"/>
  <c r="U147" i="6"/>
  <c r="U148" i="6" s="1"/>
  <c r="V147" i="6"/>
  <c r="V148" i="6" s="1"/>
  <c r="W147" i="6"/>
  <c r="W148" i="6" s="1"/>
  <c r="X147" i="6"/>
  <c r="X148" i="6" s="1"/>
  <c r="Y147" i="6"/>
  <c r="Y148" i="6" s="1"/>
  <c r="Z147" i="6"/>
  <c r="Z148" i="6" s="1"/>
  <c r="AA147" i="6"/>
  <c r="AA148" i="6" s="1"/>
  <c r="AB147" i="6"/>
  <c r="AB148" i="6" s="1"/>
  <c r="AC147" i="6"/>
  <c r="AC148" i="6" s="1"/>
  <c r="AD147" i="6"/>
  <c r="AD148" i="6" s="1"/>
  <c r="AE147" i="6"/>
  <c r="AE148" i="6" s="1"/>
  <c r="D177" i="6"/>
  <c r="C180" i="6"/>
  <c r="B181" i="6"/>
  <c r="B182" i="6" s="1"/>
  <c r="B179" i="6"/>
  <c r="E97" i="6"/>
  <c r="F17" i="5" s="1"/>
  <c r="AG97" i="6"/>
  <c r="U97" i="6"/>
  <c r="V17" i="5" s="1"/>
  <c r="I97" i="6"/>
  <c r="J17" i="5" s="1"/>
  <c r="G97" i="6"/>
  <c r="H17" i="5" s="1"/>
  <c r="AD97" i="6"/>
  <c r="AE17" i="5" s="1"/>
  <c r="AA97" i="6"/>
  <c r="AB17" i="5" s="1"/>
  <c r="K97" i="6"/>
  <c r="L17" i="5" s="1"/>
  <c r="C97" i="6"/>
  <c r="D17" i="5" s="1"/>
  <c r="D160" i="6"/>
  <c r="D9" i="4"/>
  <c r="D60" i="4"/>
  <c r="D25" i="4"/>
  <c r="D59" i="4"/>
  <c r="D29" i="4"/>
  <c r="D31" i="4"/>
  <c r="E72" i="4"/>
  <c r="E9" i="4"/>
  <c r="E21" i="4"/>
  <c r="E71" i="4"/>
  <c r="E73" i="4"/>
  <c r="E10" i="4"/>
  <c r="E5" i="4"/>
  <c r="E37" i="4"/>
  <c r="E74" i="4"/>
  <c r="E11" i="4"/>
  <c r="E36" i="4"/>
  <c r="E30" i="4"/>
  <c r="E12" i="4"/>
  <c r="E31" i="4"/>
  <c r="E13" i="4"/>
  <c r="E32" i="4"/>
  <c r="E14" i="4"/>
  <c r="D33" i="4"/>
  <c r="E34" i="4"/>
  <c r="E15" i="4"/>
  <c r="E33" i="4"/>
  <c r="E16" i="4"/>
  <c r="E35" i="4"/>
  <c r="E17" i="4"/>
  <c r="E6" i="4"/>
  <c r="E18" i="4"/>
  <c r="E77" i="4"/>
  <c r="E7" i="4"/>
  <c r="E19" i="4"/>
  <c r="E8" i="4"/>
  <c r="E20" i="4"/>
  <c r="D35" i="4"/>
  <c r="D63" i="4"/>
  <c r="D19" i="4"/>
  <c r="D49" i="4"/>
  <c r="D73" i="4"/>
  <c r="D64" i="4"/>
  <c r="D36" i="4"/>
  <c r="D37" i="4"/>
  <c r="D17" i="4"/>
  <c r="D34" i="4"/>
  <c r="D50" i="4"/>
  <c r="D52" i="4"/>
  <c r="D65" i="4"/>
  <c r="D74" i="4"/>
  <c r="D71" i="4"/>
  <c r="D21" i="4"/>
  <c r="D18" i="4"/>
  <c r="D16" i="4"/>
  <c r="D20" i="4"/>
  <c r="D51" i="4"/>
  <c r="E70" i="4"/>
  <c r="D8" i="4"/>
  <c r="D6" i="4"/>
  <c r="D14" i="4"/>
  <c r="D57" i="4"/>
  <c r="D41" i="4"/>
  <c r="D7" i="4"/>
  <c r="D10" i="4"/>
  <c r="D11" i="4"/>
  <c r="D12" i="4"/>
  <c r="D13" i="4"/>
  <c r="D15" i="4"/>
  <c r="D32" i="4"/>
  <c r="D48" i="4"/>
  <c r="D5" i="4"/>
  <c r="D47" i="4"/>
  <c r="D44" i="4"/>
  <c r="D77" i="4"/>
  <c r="D42" i="4"/>
  <c r="D58" i="4"/>
  <c r="D46" i="4"/>
  <c r="D30" i="4"/>
  <c r="D45" i="4"/>
  <c r="D66" i="4"/>
  <c r="D70" i="4"/>
  <c r="D61" i="4"/>
  <c r="D26" i="4"/>
  <c r="D53" i="4"/>
  <c r="D72" i="4"/>
  <c r="D43" i="4"/>
  <c r="D25" i="3"/>
  <c r="F104" i="19"/>
  <c r="F100" i="19"/>
  <c r="F99" i="19"/>
  <c r="F98" i="19"/>
  <c r="F101" i="19"/>
  <c r="F102" i="19"/>
  <c r="F103" i="19"/>
  <c r="E11" i="5"/>
  <c r="F11" i="5" s="1"/>
  <c r="G11" i="5" s="1"/>
  <c r="H11" i="5" s="1"/>
  <c r="I11" i="5" s="1"/>
  <c r="J11" i="5" s="1"/>
  <c r="K11" i="5" s="1"/>
  <c r="L11" i="5" s="1"/>
  <c r="M11" i="5" s="1"/>
  <c r="N11" i="5" s="1"/>
  <c r="O11" i="5" s="1"/>
  <c r="P11" i="5" s="1"/>
  <c r="Q11" i="5" s="1"/>
  <c r="R11" i="5" s="1"/>
  <c r="S11" i="5" s="1"/>
  <c r="T11" i="5" s="1"/>
  <c r="U11" i="5" s="1"/>
  <c r="V11" i="5" s="1"/>
  <c r="W11" i="5" s="1"/>
  <c r="X11" i="5" s="1"/>
  <c r="Y11" i="5" s="1"/>
  <c r="Z11" i="5" s="1"/>
  <c r="AA11" i="5" s="1"/>
  <c r="AB11" i="5" s="1"/>
  <c r="AC11" i="5" s="1"/>
  <c r="AD11" i="5" s="1"/>
  <c r="AE11" i="5" s="1"/>
  <c r="AF11" i="5" s="1"/>
  <c r="E63" i="4"/>
  <c r="E51" i="4"/>
  <c r="E64" i="4"/>
  <c r="E50" i="4"/>
  <c r="E52" i="4"/>
  <c r="E65" i="4"/>
  <c r="E49" i="4"/>
  <c r="B161" i="6"/>
  <c r="B164" i="6" s="1"/>
  <c r="Q88" i="7"/>
  <c r="N88" i="7"/>
  <c r="M88" i="7"/>
  <c r="D7" i="11"/>
  <c r="E59" i="4"/>
  <c r="E44" i="4"/>
  <c r="E45" i="4"/>
  <c r="E61" i="4"/>
  <c r="E46" i="4"/>
  <c r="E47" i="4"/>
  <c r="E60" i="4"/>
  <c r="E48" i="4"/>
  <c r="E53" i="4"/>
  <c r="E66" i="4"/>
  <c r="E58" i="4"/>
  <c r="E62" i="4"/>
  <c r="E57" i="4"/>
  <c r="E29" i="4"/>
  <c r="E54" i="4"/>
  <c r="E42" i="4"/>
  <c r="E41" i="4"/>
  <c r="E43" i="4"/>
  <c r="E25" i="4"/>
  <c r="E26" i="4"/>
  <c r="E22" i="4"/>
  <c r="C54" i="4"/>
  <c r="D54" i="4" s="1"/>
  <c r="E2" i="5"/>
  <c r="D37" i="5"/>
  <c r="R12" i="6"/>
  <c r="S12" i="6" s="1"/>
  <c r="C39" i="5"/>
  <c r="D75" i="5"/>
  <c r="E75" i="5"/>
  <c r="B63" i="1"/>
  <c r="C63" i="1" s="1"/>
  <c r="AF81" i="6" l="1"/>
  <c r="O31" i="6"/>
  <c r="O32" i="6"/>
  <c r="L31" i="6"/>
  <c r="L32" i="6"/>
  <c r="AD31" i="6"/>
  <c r="AD32" i="6"/>
  <c r="W31" i="6"/>
  <c r="W32" i="6"/>
  <c r="Y31" i="6"/>
  <c r="Y32" i="6"/>
  <c r="J31" i="6"/>
  <c r="J32" i="6"/>
  <c r="D31" i="6"/>
  <c r="D32" i="6"/>
  <c r="N31" i="6"/>
  <c r="N32" i="6"/>
  <c r="R31" i="6"/>
  <c r="R32" i="6"/>
  <c r="Z31" i="6"/>
  <c r="Z32" i="6"/>
  <c r="Z33" i="6" s="1"/>
  <c r="I31" i="6"/>
  <c r="I32" i="6"/>
  <c r="S31" i="6"/>
  <c r="S32" i="6"/>
  <c r="U31" i="6"/>
  <c r="U32" i="6"/>
  <c r="U33" i="6" s="1"/>
  <c r="T31" i="6"/>
  <c r="T32" i="6"/>
  <c r="T33" i="6" s="1"/>
  <c r="AA31" i="6"/>
  <c r="AA32" i="6"/>
  <c r="K31" i="6"/>
  <c r="K32" i="6"/>
  <c r="G31" i="6"/>
  <c r="G32" i="6"/>
  <c r="G33" i="6" s="1"/>
  <c r="V31" i="6"/>
  <c r="V32" i="6"/>
  <c r="E31" i="6"/>
  <c r="E32" i="6"/>
  <c r="M31" i="6"/>
  <c r="M32" i="6"/>
  <c r="P31" i="6"/>
  <c r="P32" i="6"/>
  <c r="P33" i="6" s="1"/>
  <c r="X31" i="6"/>
  <c r="X32" i="6"/>
  <c r="X33" i="6" s="1"/>
  <c r="AB31" i="6"/>
  <c r="AB32" i="6"/>
  <c r="AE31" i="6"/>
  <c r="AE32" i="6"/>
  <c r="F31" i="6"/>
  <c r="F32" i="6"/>
  <c r="F33" i="6" s="1"/>
  <c r="AC31" i="6"/>
  <c r="AC32" i="6"/>
  <c r="H31" i="6"/>
  <c r="H32" i="6"/>
  <c r="Q31" i="6"/>
  <c r="Q33" i="6" s="1"/>
  <c r="AO31" i="6"/>
  <c r="AO33" i="6" s="1"/>
  <c r="AO81" i="6"/>
  <c r="Y33" i="6"/>
  <c r="AG81" i="6"/>
  <c r="AL81" i="6"/>
  <c r="AJ81" i="6"/>
  <c r="AN81" i="6"/>
  <c r="AI81" i="6"/>
  <c r="AK81" i="6"/>
  <c r="AM81" i="6"/>
  <c r="AH81" i="6"/>
  <c r="AG33" i="6"/>
  <c r="AO65" i="6"/>
  <c r="AK65" i="6"/>
  <c r="AH65" i="6"/>
  <c r="AG65" i="6"/>
  <c r="AI65" i="6"/>
  <c r="AM65" i="6"/>
  <c r="AJ65" i="6"/>
  <c r="AL65" i="6"/>
  <c r="AN65" i="6"/>
  <c r="AF65" i="6"/>
  <c r="AM33" i="6"/>
  <c r="AI33" i="6"/>
  <c r="AJ33" i="6"/>
  <c r="AL33" i="6"/>
  <c r="AH33" i="6"/>
  <c r="AF33" i="6"/>
  <c r="J33" i="6"/>
  <c r="AN33" i="6"/>
  <c r="AK33" i="6"/>
  <c r="F79" i="4"/>
  <c r="F17" i="2"/>
  <c r="B162" i="6"/>
  <c r="C161" i="6" s="1"/>
  <c r="E177" i="6"/>
  <c r="D180" i="6"/>
  <c r="J97" i="6"/>
  <c r="K17" i="5" s="1"/>
  <c r="M97" i="6"/>
  <c r="N17" i="5" s="1"/>
  <c r="P97" i="6"/>
  <c r="Q17" i="5" s="1"/>
  <c r="O97" i="6"/>
  <c r="P17" i="5" s="1"/>
  <c r="AF97" i="6"/>
  <c r="T97" i="6"/>
  <c r="U17" i="5" s="1"/>
  <c r="AJ97" i="6"/>
  <c r="V97" i="6"/>
  <c r="W17" i="5" s="1"/>
  <c r="R97" i="6"/>
  <c r="S17" i="5" s="1"/>
  <c r="AK97" i="6"/>
  <c r="H97" i="6"/>
  <c r="I17" i="5" s="1"/>
  <c r="Q97" i="6"/>
  <c r="R17" i="5" s="1"/>
  <c r="AO97" i="6"/>
  <c r="AH97" i="6"/>
  <c r="AM97" i="6"/>
  <c r="S97" i="6"/>
  <c r="T17" i="5" s="1"/>
  <c r="W97" i="6"/>
  <c r="X17" i="5" s="1"/>
  <c r="AL97" i="6"/>
  <c r="AE97" i="6"/>
  <c r="AF17" i="5" s="1"/>
  <c r="Z97" i="6"/>
  <c r="AA17" i="5" s="1"/>
  <c r="AN97" i="6"/>
  <c r="X97" i="6"/>
  <c r="Y17" i="5" s="1"/>
  <c r="L97" i="6"/>
  <c r="M17" i="5" s="1"/>
  <c r="AC97" i="6"/>
  <c r="AD17" i="5" s="1"/>
  <c r="N97" i="6"/>
  <c r="O17" i="5" s="1"/>
  <c r="AB97" i="6"/>
  <c r="AC17" i="5" s="1"/>
  <c r="F97" i="6"/>
  <c r="G17" i="5" s="1"/>
  <c r="Y97" i="6"/>
  <c r="Z17" i="5" s="1"/>
  <c r="AI97" i="6"/>
  <c r="E160" i="6"/>
  <c r="E163" i="6" s="1"/>
  <c r="D163" i="6"/>
  <c r="B165" i="6"/>
  <c r="F53" i="2"/>
  <c r="F50" i="2"/>
  <c r="F63" i="2"/>
  <c r="F60" i="2"/>
  <c r="F47" i="2"/>
  <c r="F44" i="2"/>
  <c r="F57" i="2"/>
  <c r="F41" i="2"/>
  <c r="F54" i="2"/>
  <c r="F38" i="2"/>
  <c r="F51" i="2"/>
  <c r="F48" i="2"/>
  <c r="F45" i="2"/>
  <c r="F42" i="2"/>
  <c r="F65" i="2"/>
  <c r="F39" i="2"/>
  <c r="F62" i="2"/>
  <c r="F59" i="2"/>
  <c r="F56" i="2"/>
  <c r="F40" i="2"/>
  <c r="F43" i="2"/>
  <c r="F46" i="2"/>
  <c r="F49" i="2"/>
  <c r="F52" i="2"/>
  <c r="F55" i="2"/>
  <c r="F58" i="2"/>
  <c r="F61" i="2"/>
  <c r="F64" i="2"/>
  <c r="F37" i="2"/>
  <c r="J88" i="7"/>
  <c r="O88" i="7"/>
  <c r="P88" i="7"/>
  <c r="C178" i="6"/>
  <c r="F13" i="2"/>
  <c r="F82" i="2"/>
  <c r="F74" i="2"/>
  <c r="F33" i="2"/>
  <c r="F11" i="2"/>
  <c r="F90" i="2"/>
  <c r="F10" i="2"/>
  <c r="F73" i="2"/>
  <c r="F89" i="2"/>
  <c r="F12" i="2"/>
  <c r="F30" i="2"/>
  <c r="F29" i="2"/>
  <c r="F72" i="2"/>
  <c r="F81" i="2"/>
  <c r="F32" i="2"/>
  <c r="F31" i="2"/>
  <c r="F92" i="2"/>
  <c r="G88" i="7"/>
  <c r="I88" i="7"/>
  <c r="L88" i="7"/>
  <c r="F80" i="2"/>
  <c r="F22" i="2"/>
  <c r="F7" i="2"/>
  <c r="F70" i="2"/>
  <c r="K88" i="7"/>
  <c r="H88" i="7"/>
  <c r="F28" i="2"/>
  <c r="F9" i="2"/>
  <c r="F79" i="2"/>
  <c r="F86" i="2"/>
  <c r="F25" i="2"/>
  <c r="F15" i="2"/>
  <c r="F18" i="2"/>
  <c r="F77" i="2"/>
  <c r="F36" i="2"/>
  <c r="F93" i="2"/>
  <c r="F88" i="2"/>
  <c r="F21" i="2"/>
  <c r="F23" i="2"/>
  <c r="F19" i="2"/>
  <c r="F16" i="2"/>
  <c r="F8" i="2"/>
  <c r="F69" i="2"/>
  <c r="F27" i="2"/>
  <c r="F68" i="2"/>
  <c r="F20" i="2"/>
  <c r="F85" i="2"/>
  <c r="F87" i="2"/>
  <c r="F24" i="2"/>
  <c r="F6" i="2"/>
  <c r="F5" i="2"/>
  <c r="F78" i="2"/>
  <c r="F26" i="2"/>
  <c r="F71" i="2"/>
  <c r="F2" i="5"/>
  <c r="E37" i="5"/>
  <c r="D103" i="2"/>
  <c r="T12" i="6"/>
  <c r="C40" i="5"/>
  <c r="C42" i="5" s="1"/>
  <c r="D46" i="5"/>
  <c r="L33" i="6" l="1"/>
  <c r="V33" i="6"/>
  <c r="O33" i="6"/>
  <c r="M33" i="6"/>
  <c r="R33" i="6"/>
  <c r="AD33" i="6"/>
  <c r="AC33" i="6"/>
  <c r="S33" i="6"/>
  <c r="N33" i="6"/>
  <c r="W33" i="6"/>
  <c r="AE33" i="6"/>
  <c r="K33" i="6"/>
  <c r="H33" i="6"/>
  <c r="AB33" i="6"/>
  <c r="E33" i="6"/>
  <c r="AA33" i="6"/>
  <c r="I33" i="6"/>
  <c r="D33" i="6"/>
  <c r="F177" i="6"/>
  <c r="E180" i="6"/>
  <c r="C164" i="6"/>
  <c r="C162" i="6"/>
  <c r="C181" i="6"/>
  <c r="C179" i="6"/>
  <c r="F160" i="6"/>
  <c r="F163" i="6" s="1"/>
  <c r="F34" i="2"/>
  <c r="AH88" i="7"/>
  <c r="G2" i="5"/>
  <c r="F37" i="5"/>
  <c r="B8" i="1"/>
  <c r="C5" i="5"/>
  <c r="D5" i="5" s="1"/>
  <c r="E5" i="5" s="1"/>
  <c r="F5" i="5" s="1"/>
  <c r="G5" i="5" s="1"/>
  <c r="H5" i="5" s="1"/>
  <c r="I5" i="5" s="1"/>
  <c r="J5" i="5" s="1"/>
  <c r="K5" i="5" s="1"/>
  <c r="L5" i="5" s="1"/>
  <c r="M5" i="5" s="1"/>
  <c r="N5" i="5" s="1"/>
  <c r="O5" i="5" s="1"/>
  <c r="P5" i="5" s="1"/>
  <c r="Q5" i="5" s="1"/>
  <c r="R5" i="5" s="1"/>
  <c r="S5" i="5" s="1"/>
  <c r="T5" i="5" s="1"/>
  <c r="U5" i="5" s="1"/>
  <c r="V5" i="5" s="1"/>
  <c r="W5" i="5" s="1"/>
  <c r="X5" i="5" s="1"/>
  <c r="Y5" i="5" s="1"/>
  <c r="Z5" i="5" s="1"/>
  <c r="AA5" i="5" s="1"/>
  <c r="AB5" i="5" s="1"/>
  <c r="AC5" i="5" s="1"/>
  <c r="AD5" i="5" s="1"/>
  <c r="AE5" i="5" s="1"/>
  <c r="AF5" i="5" s="1"/>
  <c r="U12" i="6"/>
  <c r="E39" i="5"/>
  <c r="E46" i="5"/>
  <c r="C68" i="1" l="1"/>
  <c r="B66" i="1"/>
  <c r="C165" i="6"/>
  <c r="C62" i="1"/>
  <c r="C64" i="1" s="1"/>
  <c r="G177" i="6"/>
  <c r="F180" i="6"/>
  <c r="G160" i="6"/>
  <c r="D161" i="6"/>
  <c r="D164" i="6" s="1"/>
  <c r="B12" i="1"/>
  <c r="B9" i="1"/>
  <c r="D178" i="6"/>
  <c r="D38" i="5"/>
  <c r="H2" i="5"/>
  <c r="G37" i="5"/>
  <c r="C182" i="6"/>
  <c r="V12" i="6"/>
  <c r="F39" i="5"/>
  <c r="F46" i="5"/>
  <c r="D40" i="5" l="1"/>
  <c r="D42" i="5" s="1"/>
  <c r="E38" i="5" s="1"/>
  <c r="E40" i="5" s="1"/>
  <c r="E42" i="5" s="1"/>
  <c r="F38" i="5" s="1"/>
  <c r="F40" i="5" s="1"/>
  <c r="F42" i="5" s="1"/>
  <c r="G38" i="5" s="1"/>
  <c r="H177" i="6"/>
  <c r="G180" i="6"/>
  <c r="D179" i="6"/>
  <c r="D181" i="6"/>
  <c r="H160" i="6"/>
  <c r="G163" i="6"/>
  <c r="I2" i="5"/>
  <c r="H37" i="5"/>
  <c r="W12" i="6"/>
  <c r="D162" i="6"/>
  <c r="G46" i="5"/>
  <c r="G39" i="5"/>
  <c r="I177" i="6" l="1"/>
  <c r="H180" i="6"/>
  <c r="I160" i="6"/>
  <c r="H163" i="6"/>
  <c r="E178" i="6"/>
  <c r="D182" i="6"/>
  <c r="D165" i="6"/>
  <c r="J2" i="5"/>
  <c r="I37" i="5"/>
  <c r="E161" i="6"/>
  <c r="X12" i="6"/>
  <c r="G40" i="5"/>
  <c r="G42" i="5" s="1"/>
  <c r="H38" i="5" s="1"/>
  <c r="H39" i="5"/>
  <c r="H46" i="5"/>
  <c r="J177" i="6" l="1"/>
  <c r="I180" i="6"/>
  <c r="J160" i="6"/>
  <c r="I163" i="6"/>
  <c r="E181" i="6"/>
  <c r="E182" i="6" s="1"/>
  <c r="E179" i="6"/>
  <c r="F178" i="6" s="1"/>
  <c r="F181" i="6" s="1"/>
  <c r="J37" i="5"/>
  <c r="K2" i="5"/>
  <c r="E164" i="6"/>
  <c r="E162" i="6"/>
  <c r="Y12" i="6"/>
  <c r="H40" i="5"/>
  <c r="H42" i="5" s="1"/>
  <c r="I38" i="5" s="1"/>
  <c r="I46" i="5"/>
  <c r="I39" i="5"/>
  <c r="K177" i="6" l="1"/>
  <c r="J180" i="6"/>
  <c r="K160" i="6"/>
  <c r="J163" i="6"/>
  <c r="F182" i="6"/>
  <c r="F179" i="6"/>
  <c r="G178" i="6" s="1"/>
  <c r="G179" i="6" s="1"/>
  <c r="K37" i="5"/>
  <c r="L2" i="5"/>
  <c r="E165" i="6"/>
  <c r="Z12" i="6"/>
  <c r="F161" i="6"/>
  <c r="J46" i="5"/>
  <c r="J39" i="5"/>
  <c r="I40" i="5"/>
  <c r="I42" i="5" s="1"/>
  <c r="J38" i="5" s="1"/>
  <c r="F164" i="6" l="1"/>
  <c r="F162" i="6"/>
  <c r="L177" i="6"/>
  <c r="K180" i="6"/>
  <c r="G181" i="6"/>
  <c r="G182" i="6" s="1"/>
  <c r="L160" i="6"/>
  <c r="H178" i="6"/>
  <c r="L37" i="5"/>
  <c r="M2" i="5"/>
  <c r="AA12" i="6"/>
  <c r="K46" i="5"/>
  <c r="K39" i="5"/>
  <c r="J40" i="5"/>
  <c r="J42" i="5" s="1"/>
  <c r="K38" i="5" s="1"/>
  <c r="M177" i="6" l="1"/>
  <c r="L180" i="6"/>
  <c r="M160" i="6"/>
  <c r="L163" i="6"/>
  <c r="H181" i="6"/>
  <c r="H182" i="6" s="1"/>
  <c r="H179" i="6"/>
  <c r="I178" i="6" s="1"/>
  <c r="M37" i="5"/>
  <c r="N2" i="5"/>
  <c r="AB12" i="6"/>
  <c r="F165" i="6"/>
  <c r="G161" i="6"/>
  <c r="K40" i="5"/>
  <c r="K42" i="5" s="1"/>
  <c r="L38" i="5" s="1"/>
  <c r="L39" i="5"/>
  <c r="L46" i="5"/>
  <c r="N177" i="6" l="1"/>
  <c r="M180" i="6"/>
  <c r="N160" i="6"/>
  <c r="M163" i="6"/>
  <c r="I181" i="6"/>
  <c r="I182" i="6" s="1"/>
  <c r="I179" i="6"/>
  <c r="J178" i="6" s="1"/>
  <c r="N37" i="5"/>
  <c r="O2" i="5"/>
  <c r="G162" i="6"/>
  <c r="G164" i="6"/>
  <c r="AC12" i="6"/>
  <c r="L40" i="5"/>
  <c r="L42" i="5" s="1"/>
  <c r="M38" i="5" s="1"/>
  <c r="M39" i="5"/>
  <c r="M46" i="5"/>
  <c r="O177" i="6" l="1"/>
  <c r="N180" i="6"/>
  <c r="N163" i="6"/>
  <c r="O160" i="6"/>
  <c r="J181" i="6"/>
  <c r="J182" i="6" s="1"/>
  <c r="J179" i="6"/>
  <c r="K178" i="6" s="1"/>
  <c r="K179" i="6" s="1"/>
  <c r="O37" i="5"/>
  <c r="P2" i="5"/>
  <c r="AD12" i="6"/>
  <c r="G165" i="6"/>
  <c r="H161" i="6"/>
  <c r="N46" i="5"/>
  <c r="N39" i="5"/>
  <c r="M40" i="5"/>
  <c r="M42" i="5" s="1"/>
  <c r="N38" i="5" s="1"/>
  <c r="P177" i="6" l="1"/>
  <c r="O180" i="6"/>
  <c r="O163" i="6"/>
  <c r="P160" i="6"/>
  <c r="P37" i="5"/>
  <c r="Q2" i="5"/>
  <c r="K181" i="6"/>
  <c r="H162" i="6"/>
  <c r="H164" i="6"/>
  <c r="AE12" i="6"/>
  <c r="AF12" i="6" s="1"/>
  <c r="O46" i="5"/>
  <c r="O39" i="5"/>
  <c r="N40" i="5"/>
  <c r="N42" i="5" s="1"/>
  <c r="O38" i="5" s="1"/>
  <c r="Q177" i="6" l="1"/>
  <c r="P180" i="6"/>
  <c r="P163" i="6"/>
  <c r="Q160" i="6"/>
  <c r="AG12" i="6"/>
  <c r="AF16" i="6"/>
  <c r="AF14" i="6"/>
  <c r="AG13" i="6" s="1"/>
  <c r="L178" i="6"/>
  <c r="Q37" i="5"/>
  <c r="R2" i="5"/>
  <c r="I161" i="6"/>
  <c r="H165" i="6"/>
  <c r="K182" i="6"/>
  <c r="O40" i="5"/>
  <c r="O42" i="5" s="1"/>
  <c r="P38" i="5" s="1"/>
  <c r="P39" i="5"/>
  <c r="P46" i="5"/>
  <c r="R177" i="6" l="1"/>
  <c r="Q180" i="6"/>
  <c r="Q163" i="6"/>
  <c r="R160" i="6"/>
  <c r="L181" i="6"/>
  <c r="L182" i="6" s="1"/>
  <c r="L179" i="6"/>
  <c r="M178" i="6" s="1"/>
  <c r="M179" i="6" s="1"/>
  <c r="AG15" i="6"/>
  <c r="AH12" i="6"/>
  <c r="AG14" i="6"/>
  <c r="AH13" i="6" s="1"/>
  <c r="AG16" i="6"/>
  <c r="S2" i="5"/>
  <c r="R37" i="5"/>
  <c r="I164" i="6"/>
  <c r="I162" i="6"/>
  <c r="Q46" i="5"/>
  <c r="Q39" i="5"/>
  <c r="P40" i="5"/>
  <c r="P42" i="5" s="1"/>
  <c r="Q38" i="5" s="1"/>
  <c r="S177" i="6" l="1"/>
  <c r="R180" i="6"/>
  <c r="R163" i="6"/>
  <c r="S160" i="6"/>
  <c r="M181" i="6"/>
  <c r="M182" i="6" s="1"/>
  <c r="AH15" i="6"/>
  <c r="AG17" i="6"/>
  <c r="AI12" i="6"/>
  <c r="AH14" i="6"/>
  <c r="AI13" i="6" s="1"/>
  <c r="AH16" i="6"/>
  <c r="T2" i="5"/>
  <c r="S37" i="5"/>
  <c r="N178" i="6"/>
  <c r="N179" i="6" s="1"/>
  <c r="J161" i="6"/>
  <c r="I165" i="6"/>
  <c r="Q40" i="5"/>
  <c r="Q42" i="5" s="1"/>
  <c r="R38" i="5" s="1"/>
  <c r="R39" i="5"/>
  <c r="T177" i="6" l="1"/>
  <c r="S180" i="6"/>
  <c r="S163" i="6"/>
  <c r="T160" i="6"/>
  <c r="AH17" i="6"/>
  <c r="AI15" i="6"/>
  <c r="AJ12" i="6"/>
  <c r="AI16" i="6"/>
  <c r="AI14" i="6"/>
  <c r="AJ13" i="6" s="1"/>
  <c r="U2" i="5"/>
  <c r="T37" i="5"/>
  <c r="J164" i="6"/>
  <c r="J162" i="6"/>
  <c r="N181" i="6"/>
  <c r="R40" i="5"/>
  <c r="R42" i="5" s="1"/>
  <c r="S38" i="5" s="1"/>
  <c r="S39" i="5"/>
  <c r="U177" i="6" l="1"/>
  <c r="T180" i="6"/>
  <c r="AJ15" i="6"/>
  <c r="T163" i="6"/>
  <c r="U160" i="6"/>
  <c r="AI17" i="6"/>
  <c r="AK12" i="6"/>
  <c r="AJ14" i="6"/>
  <c r="AK13" i="6" s="1"/>
  <c r="AJ16" i="6"/>
  <c r="O178" i="6"/>
  <c r="V2" i="5"/>
  <c r="U37" i="5"/>
  <c r="K161" i="6"/>
  <c r="K163" i="6" s="1"/>
  <c r="N182" i="6"/>
  <c r="J165" i="6"/>
  <c r="S40" i="5"/>
  <c r="S42" i="5" s="1"/>
  <c r="T38" i="5" s="1"/>
  <c r="T39" i="5"/>
  <c r="AJ17" i="6" l="1"/>
  <c r="V177" i="6"/>
  <c r="U180" i="6"/>
  <c r="U163" i="6"/>
  <c r="V160" i="6"/>
  <c r="O181" i="6"/>
  <c r="O182" i="6" s="1"/>
  <c r="O179" i="6"/>
  <c r="P178" i="6" s="1"/>
  <c r="AK15" i="6"/>
  <c r="AL12" i="6"/>
  <c r="AK14" i="6"/>
  <c r="AL13" i="6" s="1"/>
  <c r="AK16" i="6"/>
  <c r="W2" i="5"/>
  <c r="X2" i="5" s="1"/>
  <c r="Y2" i="5" s="1"/>
  <c r="Z2" i="5" s="1"/>
  <c r="AA2" i="5" s="1"/>
  <c r="AB2" i="5" s="1"/>
  <c r="AC2" i="5" s="1"/>
  <c r="AD2" i="5" s="1"/>
  <c r="AE2" i="5" s="1"/>
  <c r="AF2" i="5" s="1"/>
  <c r="V37" i="5"/>
  <c r="K162" i="6"/>
  <c r="K164" i="6"/>
  <c r="T40" i="5"/>
  <c r="T42" i="5" s="1"/>
  <c r="U38" i="5" s="1"/>
  <c r="U39" i="5"/>
  <c r="W177" i="6" l="1"/>
  <c r="V180" i="6"/>
  <c r="V163" i="6"/>
  <c r="W160" i="6"/>
  <c r="P181" i="6"/>
  <c r="P182" i="6" s="1"/>
  <c r="P179" i="6"/>
  <c r="Q178" i="6" s="1"/>
  <c r="AK17" i="6"/>
  <c r="AL15" i="6"/>
  <c r="AM12" i="6"/>
  <c r="AL14" i="6"/>
  <c r="AM13" i="6" s="1"/>
  <c r="AL16" i="6"/>
  <c r="K165" i="6"/>
  <c r="L161" i="6"/>
  <c r="U40" i="5"/>
  <c r="U42" i="5" s="1"/>
  <c r="V38" i="5" s="1"/>
  <c r="V39" i="5"/>
  <c r="X177" i="6" l="1"/>
  <c r="W180" i="6"/>
  <c r="W163" i="6"/>
  <c r="X160" i="6"/>
  <c r="Q181" i="6"/>
  <c r="Q182" i="6" s="1"/>
  <c r="Q179" i="6"/>
  <c r="R178" i="6" s="1"/>
  <c r="R179" i="6" s="1"/>
  <c r="AL17" i="6"/>
  <c r="AM15" i="6"/>
  <c r="AN12" i="6"/>
  <c r="AM16" i="6"/>
  <c r="AM14" i="6"/>
  <c r="AN13" i="6" s="1"/>
  <c r="L164" i="6"/>
  <c r="L162" i="6"/>
  <c r="V40" i="5"/>
  <c r="V42" i="5" s="1"/>
  <c r="AN15" i="6" l="1"/>
  <c r="Y177" i="6"/>
  <c r="X180" i="6"/>
  <c r="X163" i="6"/>
  <c r="Y160" i="6"/>
  <c r="AM17" i="6"/>
  <c r="AO12" i="6"/>
  <c r="AN16" i="6"/>
  <c r="AN14" i="6"/>
  <c r="AO13" i="6" s="1"/>
  <c r="R181" i="6"/>
  <c r="M161" i="6"/>
  <c r="L165" i="6"/>
  <c r="AN17" i="6" l="1"/>
  <c r="Z177" i="6"/>
  <c r="Y180" i="6"/>
  <c r="Y163" i="6"/>
  <c r="Z160" i="6"/>
  <c r="AO15" i="6"/>
  <c r="AO16" i="6"/>
  <c r="AO14" i="6"/>
  <c r="R182" i="6"/>
  <c r="M162" i="6"/>
  <c r="M164" i="6"/>
  <c r="S178" i="6"/>
  <c r="S179" i="6" s="1"/>
  <c r="AA177" i="6" l="1"/>
  <c r="Z180" i="6"/>
  <c r="Z163" i="6"/>
  <c r="AA160" i="6"/>
  <c r="AO17" i="6"/>
  <c r="M165" i="6"/>
  <c r="S181" i="6"/>
  <c r="N161" i="6"/>
  <c r="N164" i="6" s="1"/>
  <c r="AB177" i="6" l="1"/>
  <c r="AA180" i="6"/>
  <c r="AA163" i="6"/>
  <c r="AB160" i="6"/>
  <c r="S182" i="6"/>
  <c r="N162" i="6"/>
  <c r="T178" i="6"/>
  <c r="T179" i="6" s="1"/>
  <c r="AC177" i="6" l="1"/>
  <c r="AB180" i="6"/>
  <c r="AB163" i="6"/>
  <c r="AC160" i="6"/>
  <c r="T181" i="6"/>
  <c r="O161" i="6"/>
  <c r="N165" i="6"/>
  <c r="AD177" i="6" l="1"/>
  <c r="AC180" i="6"/>
  <c r="AC163" i="6"/>
  <c r="AD160" i="6"/>
  <c r="T182" i="6"/>
  <c r="U178" i="6"/>
  <c r="U179" i="6" s="1"/>
  <c r="O162" i="6"/>
  <c r="O164" i="6"/>
  <c r="AE177" i="6" l="1"/>
  <c r="AE180" i="6" s="1"/>
  <c r="AD180" i="6"/>
  <c r="AD163" i="6"/>
  <c r="AE160" i="6"/>
  <c r="AE163" i="6" s="1"/>
  <c r="P161" i="6"/>
  <c r="U181" i="6"/>
  <c r="O165" i="6"/>
  <c r="V178" i="6" l="1"/>
  <c r="U182" i="6"/>
  <c r="P164" i="6"/>
  <c r="P162" i="6"/>
  <c r="V181" i="6" l="1"/>
  <c r="V182" i="6" s="1"/>
  <c r="V179" i="6"/>
  <c r="W178" i="6" s="1"/>
  <c r="W179" i="6" s="1"/>
  <c r="P165" i="6"/>
  <c r="Q161" i="6"/>
  <c r="Q162" i="6" l="1"/>
  <c r="R161" i="6" s="1"/>
  <c r="Q164" i="6"/>
  <c r="W181" i="6"/>
  <c r="W182" i="6" l="1"/>
  <c r="Q165" i="6"/>
  <c r="X178" i="6"/>
  <c r="X179" i="6" s="1"/>
  <c r="R164" i="6"/>
  <c r="R162" i="6"/>
  <c r="S161" i="6" s="1"/>
  <c r="X181" i="6" l="1"/>
  <c r="R165" i="6"/>
  <c r="S162" i="6"/>
  <c r="T161" i="6" s="1"/>
  <c r="S164" i="6"/>
  <c r="Y178" i="6" l="1"/>
  <c r="T164" i="6"/>
  <c r="T162" i="6"/>
  <c r="U161" i="6" s="1"/>
  <c r="X182" i="6"/>
  <c r="S165" i="6"/>
  <c r="Y181" i="6" l="1"/>
  <c r="Y182" i="6" s="1"/>
  <c r="Y179" i="6"/>
  <c r="Z178" i="6" s="1"/>
  <c r="Z179" i="6" s="1"/>
  <c r="U164" i="6"/>
  <c r="U162" i="6"/>
  <c r="V161" i="6" s="1"/>
  <c r="T165" i="6"/>
  <c r="V164" i="6" l="1"/>
  <c r="V162" i="6"/>
  <c r="W161" i="6" s="1"/>
  <c r="U165" i="6"/>
  <c r="Z181" i="6"/>
  <c r="V165" i="6" l="1"/>
  <c r="Z182" i="6"/>
  <c r="AA178" i="6"/>
  <c r="AA179" i="6" s="1"/>
  <c r="W162" i="6"/>
  <c r="X161" i="6" s="1"/>
  <c r="W164" i="6"/>
  <c r="W165" i="6" l="1"/>
  <c r="X164" i="6"/>
  <c r="X162" i="6"/>
  <c r="Y161" i="6" s="1"/>
  <c r="AA181" i="6"/>
  <c r="AB178" i="6" l="1"/>
  <c r="Y162" i="6"/>
  <c r="Z161" i="6" s="1"/>
  <c r="Z164" i="6" s="1"/>
  <c r="Y164" i="6"/>
  <c r="AA182" i="6"/>
  <c r="X165" i="6"/>
  <c r="AB181" i="6" l="1"/>
  <c r="AB182" i="6" s="1"/>
  <c r="AB179" i="6"/>
  <c r="AC178" i="6" s="1"/>
  <c r="AC179" i="6" s="1"/>
  <c r="Z162" i="6"/>
  <c r="AA161" i="6" s="1"/>
  <c r="Y165" i="6"/>
  <c r="Z165" i="6" l="1"/>
  <c r="AC181" i="6"/>
  <c r="AA164" i="6"/>
  <c r="AA162" i="6"/>
  <c r="AB161" i="6" s="1"/>
  <c r="AD178" i="6" l="1"/>
  <c r="AB164" i="6"/>
  <c r="AB162" i="6"/>
  <c r="AC161" i="6" s="1"/>
  <c r="AA165" i="6"/>
  <c r="AC182" i="6"/>
  <c r="AD181" i="6" l="1"/>
  <c r="AD182" i="6" s="1"/>
  <c r="AD179" i="6"/>
  <c r="AE178" i="6" s="1"/>
  <c r="AC164" i="6"/>
  <c r="AC162" i="6"/>
  <c r="AD161" i="6" s="1"/>
  <c r="AB165" i="6"/>
  <c r="AE181" i="6" l="1"/>
  <c r="AE182" i="6" s="1"/>
  <c r="AE179" i="6"/>
  <c r="AD164" i="6"/>
  <c r="AD162" i="6"/>
  <c r="AE161" i="6" s="1"/>
  <c r="AC165" i="6"/>
  <c r="AD165" i="6" l="1"/>
  <c r="AE162" i="6"/>
  <c r="AE164" i="6"/>
  <c r="AE165" i="6" l="1"/>
  <c r="B78" i="5" l="1"/>
  <c r="G28" i="3"/>
  <c r="G29" i="3" l="1"/>
  <c r="G38" i="3" s="1"/>
  <c r="E4" i="24"/>
  <c r="C7" i="5"/>
  <c r="D7" i="5" s="1"/>
  <c r="E7" i="5" s="1"/>
  <c r="F7" i="5" s="1"/>
  <c r="G7" i="5" s="1"/>
  <c r="H7" i="5" s="1"/>
  <c r="I7" i="5" s="1"/>
  <c r="J7" i="5" s="1"/>
  <c r="I5" i="24" l="1"/>
  <c r="I6" i="24"/>
  <c r="F19" i="24"/>
  <c r="F51" i="24"/>
  <c r="F12" i="24"/>
  <c r="F63" i="24"/>
  <c r="F2" i="24"/>
  <c r="F54" i="24"/>
  <c r="F60" i="24"/>
  <c r="F11" i="24"/>
  <c r="F8" i="24"/>
  <c r="F37" i="24"/>
  <c r="F48" i="24"/>
  <c r="F45" i="24"/>
  <c r="F23" i="24"/>
  <c r="F36" i="24"/>
  <c r="F21" i="24"/>
  <c r="F46" i="24"/>
  <c r="F32" i="24"/>
  <c r="F31" i="24"/>
  <c r="F30" i="24"/>
  <c r="F20" i="24"/>
  <c r="F53" i="24"/>
  <c r="F28" i="24"/>
  <c r="F4" i="24"/>
  <c r="F35" i="24"/>
  <c r="F6" i="24"/>
  <c r="F40" i="24"/>
  <c r="F15" i="24"/>
  <c r="F62" i="24"/>
  <c r="F38" i="24"/>
  <c r="F7" i="24"/>
  <c r="F61" i="24"/>
  <c r="F13" i="24"/>
  <c r="F9" i="24"/>
  <c r="F16" i="24"/>
  <c r="F42" i="24"/>
  <c r="F27" i="24"/>
  <c r="F49" i="24"/>
  <c r="F3" i="24"/>
  <c r="F44" i="24"/>
  <c r="F50" i="24"/>
  <c r="F24" i="24"/>
  <c r="F43" i="24"/>
  <c r="F26" i="24"/>
  <c r="F25" i="24"/>
  <c r="F55" i="24"/>
  <c r="F33" i="24"/>
  <c r="F17" i="24"/>
  <c r="F22" i="24"/>
  <c r="F34" i="24"/>
  <c r="F58" i="24"/>
  <c r="F52" i="24"/>
  <c r="F10" i="24"/>
  <c r="F57" i="24"/>
  <c r="F29" i="24"/>
  <c r="F47" i="24"/>
  <c r="F18" i="24"/>
  <c r="F56" i="24"/>
  <c r="F39" i="24"/>
  <c r="F5" i="24"/>
  <c r="F59" i="24"/>
  <c r="F14" i="24"/>
  <c r="F41" i="24"/>
  <c r="K7" i="5"/>
  <c r="L7" i="5" s="1"/>
  <c r="M7" i="5" s="1"/>
  <c r="N7" i="5" s="1"/>
  <c r="O7" i="5" s="1"/>
  <c r="P7" i="5" s="1"/>
  <c r="Q7" i="5" s="1"/>
  <c r="R7" i="5" s="1"/>
  <c r="S7" i="5" s="1"/>
  <c r="T7" i="5" s="1"/>
  <c r="U7" i="5" s="1"/>
  <c r="V7" i="5" s="1"/>
  <c r="W7" i="5" s="1"/>
  <c r="X7" i="5" s="1"/>
  <c r="Y7" i="5" s="1"/>
  <c r="Z7" i="5" s="1"/>
  <c r="AA7" i="5" s="1"/>
  <c r="AB7" i="5" s="1"/>
  <c r="AC7" i="5" s="1"/>
  <c r="AD7" i="5" s="1"/>
  <c r="AE7" i="5" s="1"/>
  <c r="AF7" i="5" s="1"/>
  <c r="C8" i="5"/>
  <c r="I24" i="24" l="1"/>
  <c r="G33" i="20" s="1"/>
  <c r="I21" i="24"/>
  <c r="I84" i="21" s="1"/>
  <c r="D8" i="5"/>
  <c r="AT88" i="2"/>
  <c r="F59" i="5"/>
  <c r="E8" i="5" l="1"/>
  <c r="G59" i="5"/>
  <c r="H59" i="5"/>
  <c r="L59" i="5"/>
  <c r="I59" i="5"/>
  <c r="E59" i="5"/>
  <c r="J59" i="5"/>
  <c r="D59" i="5"/>
  <c r="K59" i="5"/>
  <c r="F8" i="5" l="1"/>
  <c r="B79" i="5"/>
  <c r="B6" i="6"/>
  <c r="B9" i="6" s="1"/>
  <c r="B10" i="6" l="1"/>
  <c r="D14" i="6"/>
  <c r="R77" i="6"/>
  <c r="Y77" i="6"/>
  <c r="P77" i="6"/>
  <c r="O77" i="6"/>
  <c r="AB77" i="6"/>
  <c r="M77" i="6"/>
  <c r="AA77" i="6"/>
  <c r="D61" i="6"/>
  <c r="M61" i="6"/>
  <c r="Q61" i="6"/>
  <c r="X61" i="6"/>
  <c r="AC61" i="6"/>
  <c r="V61" i="6"/>
  <c r="X77" i="6"/>
  <c r="C14" i="6"/>
  <c r="J77" i="6"/>
  <c r="Q77" i="6"/>
  <c r="H77" i="6"/>
  <c r="G77" i="6"/>
  <c r="E77" i="6"/>
  <c r="S77" i="6"/>
  <c r="I61" i="6"/>
  <c r="R61" i="6"/>
  <c r="AD61" i="6"/>
  <c r="U77" i="6"/>
  <c r="I77" i="6"/>
  <c r="AD77" i="6"/>
  <c r="D77" i="6"/>
  <c r="K77" i="6"/>
  <c r="E61" i="6"/>
  <c r="J61" i="6"/>
  <c r="N61" i="6"/>
  <c r="S61" i="6"/>
  <c r="Y61" i="6"/>
  <c r="AE61" i="6"/>
  <c r="T77" i="6"/>
  <c r="F61" i="6"/>
  <c r="O61" i="6"/>
  <c r="T61" i="6"/>
  <c r="Z61" i="6"/>
  <c r="F77" i="6"/>
  <c r="L77" i="6"/>
  <c r="G61" i="6"/>
  <c r="K61" i="6"/>
  <c r="AA61" i="6"/>
  <c r="K14" i="6"/>
  <c r="F14" i="6"/>
  <c r="Z77" i="6"/>
  <c r="W61" i="6"/>
  <c r="V77" i="6"/>
  <c r="L61" i="6"/>
  <c r="P61" i="6"/>
  <c r="U61" i="6"/>
  <c r="AB61" i="6"/>
  <c r="H61" i="6"/>
  <c r="W77" i="6"/>
  <c r="E14" i="6"/>
  <c r="AE77" i="6"/>
  <c r="N77" i="6"/>
  <c r="AC77" i="6"/>
  <c r="B14" i="6"/>
  <c r="C29" i="6"/>
  <c r="G8" i="5"/>
  <c r="U14" i="6"/>
  <c r="V13" i="6" s="1"/>
  <c r="V15" i="6" s="1"/>
  <c r="B15" i="6" l="1"/>
  <c r="B16" i="6" s="1"/>
  <c r="B429" i="6"/>
  <c r="V63" i="6"/>
  <c r="V64" i="6"/>
  <c r="X79" i="6"/>
  <c r="X80" i="6"/>
  <c r="K79" i="6"/>
  <c r="K80" i="6"/>
  <c r="K63" i="6"/>
  <c r="K64" i="6"/>
  <c r="D79" i="6"/>
  <c r="D81" i="6" s="1"/>
  <c r="O79" i="6"/>
  <c r="O80" i="6"/>
  <c r="O81" i="6" s="1"/>
  <c r="O63" i="6"/>
  <c r="O64" i="6"/>
  <c r="F63" i="6"/>
  <c r="F64" i="6"/>
  <c r="N79" i="6"/>
  <c r="N80" i="6"/>
  <c r="E63" i="6"/>
  <c r="E64" i="6"/>
  <c r="AA63" i="6"/>
  <c r="AA64" i="6"/>
  <c r="AB79" i="6"/>
  <c r="AB80" i="6"/>
  <c r="P63" i="6"/>
  <c r="P64" i="6"/>
  <c r="T79" i="6"/>
  <c r="T80" i="6"/>
  <c r="E79" i="6"/>
  <c r="E80" i="6"/>
  <c r="AE63" i="6"/>
  <c r="AE64" i="6"/>
  <c r="I79" i="6"/>
  <c r="I80" i="6"/>
  <c r="W63" i="6"/>
  <c r="W64" i="6"/>
  <c r="M63" i="6"/>
  <c r="M64" i="6"/>
  <c r="R79" i="6"/>
  <c r="R80" i="6"/>
  <c r="AB63" i="6"/>
  <c r="AB64" i="6"/>
  <c r="I63" i="6"/>
  <c r="I64" i="6"/>
  <c r="U63" i="6"/>
  <c r="U64" i="6"/>
  <c r="S79" i="6"/>
  <c r="S80" i="6"/>
  <c r="AC79" i="6"/>
  <c r="AC80" i="6"/>
  <c r="L63" i="6"/>
  <c r="L64" i="6"/>
  <c r="AD79" i="6"/>
  <c r="AD80" i="6"/>
  <c r="G79" i="6"/>
  <c r="G80" i="6"/>
  <c r="P79" i="6"/>
  <c r="P80" i="6"/>
  <c r="V79" i="6"/>
  <c r="V80" i="6"/>
  <c r="V81" i="6" s="1"/>
  <c r="Y63" i="6"/>
  <c r="Y64" i="6"/>
  <c r="Q63" i="6"/>
  <c r="Q64" i="6"/>
  <c r="F79" i="6"/>
  <c r="F80" i="6"/>
  <c r="U79" i="6"/>
  <c r="U80" i="6"/>
  <c r="Z79" i="6"/>
  <c r="Z80" i="6"/>
  <c r="N63" i="6"/>
  <c r="N64" i="6"/>
  <c r="J79" i="6"/>
  <c r="J80" i="6"/>
  <c r="D63" i="6"/>
  <c r="D64" i="6"/>
  <c r="M79" i="6"/>
  <c r="M80" i="6"/>
  <c r="AC63" i="6"/>
  <c r="AC64" i="6"/>
  <c r="G63" i="6"/>
  <c r="G64" i="6"/>
  <c r="X63" i="6"/>
  <c r="X64" i="6"/>
  <c r="AE79" i="6"/>
  <c r="AE80" i="6"/>
  <c r="L79" i="6"/>
  <c r="L80" i="6"/>
  <c r="H79" i="6"/>
  <c r="H80" i="6"/>
  <c r="Y79" i="6"/>
  <c r="Y80" i="6"/>
  <c r="S63" i="6"/>
  <c r="S64" i="6"/>
  <c r="Q79" i="6"/>
  <c r="Q80" i="6"/>
  <c r="W79" i="6"/>
  <c r="W80" i="6"/>
  <c r="Z63" i="6"/>
  <c r="Z64" i="6"/>
  <c r="AD63" i="6"/>
  <c r="AD64" i="6"/>
  <c r="H63" i="6"/>
  <c r="H64" i="6"/>
  <c r="T63" i="6"/>
  <c r="T64" i="6"/>
  <c r="J63" i="6"/>
  <c r="J64" i="6"/>
  <c r="R63" i="6"/>
  <c r="R64" i="6"/>
  <c r="AA79" i="6"/>
  <c r="AA80" i="6"/>
  <c r="C31" i="6"/>
  <c r="C32" i="6"/>
  <c r="C77" i="6"/>
  <c r="C79" i="6" s="1"/>
  <c r="C81" i="6" s="1"/>
  <c r="C61" i="6"/>
  <c r="H8" i="5"/>
  <c r="P14" i="6"/>
  <c r="Q14" i="6"/>
  <c r="R13" i="6" s="1"/>
  <c r="R15" i="6" s="1"/>
  <c r="J14" i="6"/>
  <c r="AD14" i="6"/>
  <c r="AE13" i="6" s="1"/>
  <c r="AE15" i="6" s="1"/>
  <c r="S14" i="6"/>
  <c r="T13" i="6" s="1"/>
  <c r="T15" i="6" s="1"/>
  <c r="AC14" i="6"/>
  <c r="AD13" i="6" s="1"/>
  <c r="AD15" i="6" s="1"/>
  <c r="H14" i="6"/>
  <c r="AB14" i="6"/>
  <c r="AC13" i="6" s="1"/>
  <c r="AC15" i="6" s="1"/>
  <c r="L13" i="6"/>
  <c r="L15" i="6" s="1"/>
  <c r="R14" i="6"/>
  <c r="S13" i="6" s="1"/>
  <c r="S15" i="6" s="1"/>
  <c r="X14" i="6"/>
  <c r="Y13" i="6" s="1"/>
  <c r="Y15" i="6" s="1"/>
  <c r="O14" i="6"/>
  <c r="V14" i="6"/>
  <c r="W13" i="6" s="1"/>
  <c r="W15" i="6" s="1"/>
  <c r="W14" i="6"/>
  <c r="X13" i="6" s="1"/>
  <c r="X15" i="6" s="1"/>
  <c r="N14" i="6"/>
  <c r="G14" i="6"/>
  <c r="I14" i="6"/>
  <c r="L14" i="6"/>
  <c r="C13" i="6"/>
  <c r="C15" i="6" s="1"/>
  <c r="AE14" i="6"/>
  <c r="AF13" i="6" s="1"/>
  <c r="AF15" i="6" s="1"/>
  <c r="AF17" i="6" s="1"/>
  <c r="M14" i="6"/>
  <c r="AA14" i="6"/>
  <c r="AB13" i="6" s="1"/>
  <c r="AB15" i="6" s="1"/>
  <c r="T14" i="6"/>
  <c r="U13" i="6" s="1"/>
  <c r="U15" i="6" s="1"/>
  <c r="Z14" i="6"/>
  <c r="AA13" i="6" s="1"/>
  <c r="AA15" i="6" s="1"/>
  <c r="Y14" i="6"/>
  <c r="Z13" i="6" s="1"/>
  <c r="Z15" i="6" s="1"/>
  <c r="G65" i="6" l="1"/>
  <c r="H81" i="6"/>
  <c r="F81" i="6"/>
  <c r="I81" i="6"/>
  <c r="AB65" i="6"/>
  <c r="K81" i="6"/>
  <c r="V65" i="6"/>
  <c r="W81" i="6"/>
  <c r="J81" i="6"/>
  <c r="P81" i="6"/>
  <c r="AC81" i="6"/>
  <c r="N81" i="6"/>
  <c r="M81" i="6"/>
  <c r="Z81" i="6"/>
  <c r="E81" i="6"/>
  <c r="P65" i="6"/>
  <c r="Y65" i="6"/>
  <c r="O65" i="6"/>
  <c r="T65" i="6"/>
  <c r="B424" i="6"/>
  <c r="C48" i="5" s="1"/>
  <c r="AA81" i="6"/>
  <c r="Q81" i="6"/>
  <c r="AC65" i="6"/>
  <c r="N65" i="6"/>
  <c r="Q65" i="6"/>
  <c r="AE65" i="6"/>
  <c r="U81" i="6"/>
  <c r="T81" i="6"/>
  <c r="L81" i="6"/>
  <c r="G81" i="6"/>
  <c r="S81" i="6"/>
  <c r="R81" i="6"/>
  <c r="AD81" i="6"/>
  <c r="X81" i="6"/>
  <c r="D65" i="6"/>
  <c r="R65" i="6"/>
  <c r="AD65" i="6"/>
  <c r="S65" i="6"/>
  <c r="U65" i="6"/>
  <c r="M65" i="6"/>
  <c r="AA65" i="6"/>
  <c r="AE81" i="6"/>
  <c r="AB81" i="6"/>
  <c r="F65" i="6"/>
  <c r="K65" i="6"/>
  <c r="X65" i="6"/>
  <c r="L65" i="6"/>
  <c r="W65" i="6"/>
  <c r="E65" i="6"/>
  <c r="H65" i="6"/>
  <c r="C63" i="6"/>
  <c r="C64" i="6"/>
  <c r="J65" i="6"/>
  <c r="Z65" i="6"/>
  <c r="Y81" i="6"/>
  <c r="I65" i="6"/>
  <c r="AE16" i="6"/>
  <c r="Y16" i="6"/>
  <c r="C16" i="6"/>
  <c r="C33" i="6"/>
  <c r="W16" i="6"/>
  <c r="B17" i="6"/>
  <c r="N13" i="6"/>
  <c r="N15" i="6" s="1"/>
  <c r="M13" i="6"/>
  <c r="M16" i="6" s="1"/>
  <c r="M424" i="6" s="1"/>
  <c r="G13" i="6"/>
  <c r="G15" i="6" s="1"/>
  <c r="K13" i="6"/>
  <c r="K15" i="6" s="1"/>
  <c r="F13" i="6"/>
  <c r="F15" i="6" s="1"/>
  <c r="Q13" i="6"/>
  <c r="Q15" i="6" s="1"/>
  <c r="P13" i="6"/>
  <c r="P15" i="6" s="1"/>
  <c r="D13" i="6"/>
  <c r="I8" i="5"/>
  <c r="R16" i="6"/>
  <c r="R424" i="6" s="1"/>
  <c r="T16" i="6"/>
  <c r="T424" i="6" s="1"/>
  <c r="I13" i="6"/>
  <c r="I15" i="6" s="1"/>
  <c r="O13" i="6"/>
  <c r="O15" i="6" s="1"/>
  <c r="H13" i="6"/>
  <c r="H15" i="6" s="1"/>
  <c r="AB16" i="6"/>
  <c r="AB424" i="6" s="1"/>
  <c r="J13" i="6"/>
  <c r="J16" i="6" s="1"/>
  <c r="J424" i="6" s="1"/>
  <c r="U16" i="6"/>
  <c r="U424" i="6" s="1"/>
  <c r="AA16" i="6"/>
  <c r="AA424" i="6" s="1"/>
  <c r="E13" i="6"/>
  <c r="E15" i="6" s="1"/>
  <c r="AC16" i="6"/>
  <c r="AC424" i="6" s="1"/>
  <c r="Z16" i="6"/>
  <c r="Z424" i="6" s="1"/>
  <c r="S16" i="6"/>
  <c r="S424" i="6" s="1"/>
  <c r="L16" i="6"/>
  <c r="L424" i="6" s="1"/>
  <c r="X16" i="6"/>
  <c r="X424" i="6" s="1"/>
  <c r="AD16" i="6"/>
  <c r="AD424" i="6" s="1"/>
  <c r="V16" i="6"/>
  <c r="V424" i="6" s="1"/>
  <c r="C424" i="6" l="1"/>
  <c r="C16" i="5"/>
  <c r="I20" i="24" s="1"/>
  <c r="B69" i="4"/>
  <c r="B75" i="4" s="1"/>
  <c r="B79" i="4" s="1"/>
  <c r="W17" i="6"/>
  <c r="W424" i="6"/>
  <c r="Y17" i="6"/>
  <c r="Y424" i="6"/>
  <c r="AE17" i="6"/>
  <c r="AE424" i="6"/>
  <c r="C65" i="6"/>
  <c r="N16" i="6"/>
  <c r="N424" i="6" s="1"/>
  <c r="M15" i="6"/>
  <c r="M17" i="6" s="1"/>
  <c r="P16" i="6"/>
  <c r="P424" i="6" s="1"/>
  <c r="G16" i="6"/>
  <c r="Q16" i="6"/>
  <c r="C17" i="6"/>
  <c r="K16" i="6"/>
  <c r="K424" i="6" s="1"/>
  <c r="D15" i="6"/>
  <c r="D16" i="6"/>
  <c r="D424" i="6" s="1"/>
  <c r="F16" i="6"/>
  <c r="R17" i="6"/>
  <c r="AC17" i="6"/>
  <c r="J8" i="5"/>
  <c r="I16" i="6"/>
  <c r="I424" i="6" s="1"/>
  <c r="J15" i="6"/>
  <c r="J17" i="6" s="1"/>
  <c r="T17" i="6"/>
  <c r="L17" i="6"/>
  <c r="AB17" i="6"/>
  <c r="S17" i="6"/>
  <c r="H16" i="6"/>
  <c r="H424" i="6" s="1"/>
  <c r="O16" i="6"/>
  <c r="O424" i="6" s="1"/>
  <c r="E16" i="6"/>
  <c r="E424" i="6" s="1"/>
  <c r="V17" i="6"/>
  <c r="AD17" i="6"/>
  <c r="X17" i="6"/>
  <c r="U17" i="6"/>
  <c r="AA17" i="6"/>
  <c r="Z17" i="6"/>
  <c r="E69" i="4" l="1"/>
  <c r="E75" i="4"/>
  <c r="C69" i="4"/>
  <c r="D69" i="4" s="1"/>
  <c r="P17" i="6"/>
  <c r="K17" i="6"/>
  <c r="N17" i="6"/>
  <c r="Q17" i="6"/>
  <c r="Q424" i="6"/>
  <c r="G17" i="6"/>
  <c r="G424" i="6"/>
  <c r="F17" i="6"/>
  <c r="F424" i="6"/>
  <c r="D17" i="6"/>
  <c r="I25" i="24"/>
  <c r="I23" i="24"/>
  <c r="I83" i="21" s="1"/>
  <c r="I22" i="24"/>
  <c r="O17" i="6"/>
  <c r="I17" i="6"/>
  <c r="C75" i="4"/>
  <c r="D75" i="4" s="1"/>
  <c r="E79" i="4"/>
  <c r="K8" i="5"/>
  <c r="H17" i="6"/>
  <c r="E17" i="6"/>
  <c r="C79" i="4" l="1"/>
  <c r="C102" i="2" s="1"/>
  <c r="C10" i="5"/>
  <c r="D10" i="5" s="1"/>
  <c r="E10" i="5" s="1"/>
  <c r="F10" i="5" s="1"/>
  <c r="G10" i="5" s="1"/>
  <c r="H10" i="5" s="1"/>
  <c r="I10" i="5" s="1"/>
  <c r="J10" i="5" s="1"/>
  <c r="K10" i="5" s="1"/>
  <c r="L10" i="5" s="1"/>
  <c r="M10" i="5" s="1"/>
  <c r="N10" i="5" s="1"/>
  <c r="O10" i="5" s="1"/>
  <c r="P10" i="5" s="1"/>
  <c r="Q10" i="5" s="1"/>
  <c r="R10" i="5" s="1"/>
  <c r="S10" i="5" s="1"/>
  <c r="T10" i="5" s="1"/>
  <c r="U10" i="5" s="1"/>
  <c r="V10" i="5" s="1"/>
  <c r="W10" i="5" s="1"/>
  <c r="X10" i="5" s="1"/>
  <c r="Y10" i="5" s="1"/>
  <c r="Z10" i="5" s="1"/>
  <c r="AA10" i="5" s="1"/>
  <c r="AB10" i="5" s="1"/>
  <c r="AC10" i="5" s="1"/>
  <c r="AD10" i="5" s="1"/>
  <c r="AE10" i="5" s="1"/>
  <c r="AF10" i="5" s="1"/>
  <c r="L8" i="5"/>
  <c r="D79" i="4" l="1"/>
  <c r="C101" i="2"/>
  <c r="C12" i="5"/>
  <c r="E25" i="19" s="1"/>
  <c r="C100" i="2"/>
  <c r="M8" i="5"/>
  <c r="C24" i="5" l="1"/>
  <c r="H61" i="1" s="1"/>
  <c r="C14" i="5"/>
  <c r="B428" i="6" s="1"/>
  <c r="B430" i="6" s="1"/>
  <c r="D12" i="5"/>
  <c r="D14" i="5" s="1"/>
  <c r="D45" i="5" s="1"/>
  <c r="E12" i="5"/>
  <c r="E24" i="5" s="1"/>
  <c r="N8" i="5"/>
  <c r="F12" i="5"/>
  <c r="C18" i="5" l="1"/>
  <c r="C45" i="5"/>
  <c r="C22" i="5"/>
  <c r="E14" i="5"/>
  <c r="E45" i="5" s="1"/>
  <c r="D24" i="5"/>
  <c r="O8" i="5"/>
  <c r="F14" i="5"/>
  <c r="F45" i="5" s="1"/>
  <c r="F24" i="5"/>
  <c r="G12" i="5"/>
  <c r="H62" i="1" l="1"/>
  <c r="G34" i="20"/>
  <c r="C428" i="6"/>
  <c r="C19" i="5"/>
  <c r="C30" i="5" s="1"/>
  <c r="E26" i="19"/>
  <c r="P8" i="5"/>
  <c r="G14" i="5"/>
  <c r="G45" i="5" s="1"/>
  <c r="G24" i="5"/>
  <c r="H12" i="5"/>
  <c r="D428" i="6" l="1"/>
  <c r="E428" i="6" s="1"/>
  <c r="C34" i="20"/>
  <c r="A34" i="20" s="1"/>
  <c r="B34" i="20"/>
  <c r="C20" i="5"/>
  <c r="C23" i="5" s="1"/>
  <c r="Q8" i="5"/>
  <c r="H14" i="5"/>
  <c r="H45" i="5" s="1"/>
  <c r="H24" i="5"/>
  <c r="I12" i="5"/>
  <c r="C27" i="5" l="1"/>
  <c r="C28" i="5" s="1"/>
  <c r="C35" i="5" s="1"/>
  <c r="D26" i="5" s="1"/>
  <c r="F428" i="6"/>
  <c r="R8" i="5"/>
  <c r="I14" i="5"/>
  <c r="I45" i="5" s="1"/>
  <c r="I24" i="5"/>
  <c r="J12" i="5"/>
  <c r="G428" i="6" l="1"/>
  <c r="S8" i="5"/>
  <c r="J14" i="5"/>
  <c r="J45" i="5" s="1"/>
  <c r="J24" i="5"/>
  <c r="K12" i="5"/>
  <c r="H428" i="6" l="1"/>
  <c r="T8" i="5"/>
  <c r="K14" i="5"/>
  <c r="K45" i="5" s="1"/>
  <c r="K24" i="5"/>
  <c r="L12" i="5"/>
  <c r="I428" i="6" l="1"/>
  <c r="U8" i="5"/>
  <c r="L14" i="5"/>
  <c r="L45" i="5" s="1"/>
  <c r="L24" i="5"/>
  <c r="M12" i="5"/>
  <c r="M14" i="5" s="1"/>
  <c r="J428" i="6" l="1"/>
  <c r="V8" i="5"/>
  <c r="N12" i="5"/>
  <c r="N14" i="5" s="1"/>
  <c r="M45" i="5"/>
  <c r="K428" i="6" l="1"/>
  <c r="W8" i="5"/>
  <c r="O12" i="5"/>
  <c r="O14" i="5" s="1"/>
  <c r="N45" i="5"/>
  <c r="L428" i="6" l="1"/>
  <c r="X8" i="5"/>
  <c r="O45" i="5"/>
  <c r="P12" i="5"/>
  <c r="P14" i="5" s="1"/>
  <c r="M428" i="6" l="1"/>
  <c r="Y8" i="5"/>
  <c r="P45" i="5"/>
  <c r="Q12" i="5"/>
  <c r="Q14" i="5" s="1"/>
  <c r="N428" i="6" l="1"/>
  <c r="Z8" i="5"/>
  <c r="Q45" i="5"/>
  <c r="R12" i="5"/>
  <c r="R14" i="5" s="1"/>
  <c r="O428" i="6" l="1"/>
  <c r="AA8" i="5"/>
  <c r="S12" i="5"/>
  <c r="S14" i="5" s="1"/>
  <c r="P428" i="6" l="1"/>
  <c r="AB8" i="5"/>
  <c r="T12" i="5"/>
  <c r="T14" i="5" s="1"/>
  <c r="AC8" i="5" l="1"/>
  <c r="U12" i="5"/>
  <c r="U14" i="5" s="1"/>
  <c r="AD8" i="5" l="1"/>
  <c r="V12" i="5"/>
  <c r="V14" i="5" s="1"/>
  <c r="AF8" i="5" l="1"/>
  <c r="AE8" i="5"/>
  <c r="W12" i="5"/>
  <c r="W14" i="5" s="1"/>
  <c r="X12" i="5" l="1"/>
  <c r="X14" i="5" s="1"/>
  <c r="Y12" i="5" l="1"/>
  <c r="Y14" i="5" s="1"/>
  <c r="Z12" i="5" l="1"/>
  <c r="Z14" i="5" s="1"/>
  <c r="AA12" i="5" l="1"/>
  <c r="AA14" i="5" s="1"/>
  <c r="AB12" i="5" l="1"/>
  <c r="AB14" i="5" s="1"/>
  <c r="AC12" i="5" l="1"/>
  <c r="AC14" i="5" s="1"/>
  <c r="AD12" i="5" l="1"/>
  <c r="AD14" i="5" s="1"/>
  <c r="AE12" i="5" l="1"/>
  <c r="AE14" i="5" s="1"/>
  <c r="AF12" i="5"/>
  <c r="AF14" i="5" s="1"/>
  <c r="D48" i="5" l="1"/>
  <c r="D52" i="5" s="1"/>
  <c r="D55" i="5" s="1"/>
  <c r="D60" i="5" s="1"/>
  <c r="D68" i="5" s="1"/>
  <c r="D69" i="5" s="1"/>
  <c r="D22" i="5" l="1"/>
  <c r="D18" i="5"/>
  <c r="E48" i="5" l="1"/>
  <c r="E52" i="5" s="1"/>
  <c r="E55" i="5" s="1"/>
  <c r="E60" i="5" s="1"/>
  <c r="E68" i="5" s="1"/>
  <c r="E69" i="5" s="1"/>
  <c r="D19" i="5"/>
  <c r="D30" i="5" s="1"/>
  <c r="F48" i="5"/>
  <c r="F52" i="5" s="1"/>
  <c r="F55" i="5" s="1"/>
  <c r="F60" i="5" s="1"/>
  <c r="F68" i="5" s="1"/>
  <c r="F69" i="5" s="1"/>
  <c r="D20" i="5" l="1"/>
  <c r="D23" i="5" s="1"/>
  <c r="F22" i="5"/>
  <c r="G48" i="5"/>
  <c r="G52" i="5" s="1"/>
  <c r="G55" i="5" s="1"/>
  <c r="G60" i="5" s="1"/>
  <c r="G68" i="5" s="1"/>
  <c r="G69" i="5" s="1"/>
  <c r="E22" i="5"/>
  <c r="E18" i="5"/>
  <c r="D27" i="5" l="1"/>
  <c r="F18" i="5"/>
  <c r="F19" i="5" s="1"/>
  <c r="F30" i="5" s="1"/>
  <c r="H48" i="5"/>
  <c r="H52" i="5" s="1"/>
  <c r="H55" i="5" s="1"/>
  <c r="H60" i="5" s="1"/>
  <c r="H68" i="5" s="1"/>
  <c r="H69" i="5" s="1"/>
  <c r="E19" i="5"/>
  <c r="E30" i="5" s="1"/>
  <c r="D28" i="5" l="1"/>
  <c r="D35" i="5" s="1"/>
  <c r="E26" i="5" s="1"/>
  <c r="I48" i="5"/>
  <c r="I52" i="5" s="1"/>
  <c r="I55" i="5" s="1"/>
  <c r="I60" i="5" s="1"/>
  <c r="I68" i="5" s="1"/>
  <c r="I69" i="5" s="1"/>
  <c r="G18" i="5"/>
  <c r="G22" i="5"/>
  <c r="E20" i="5"/>
  <c r="E23" i="5" s="1"/>
  <c r="F20" i="5"/>
  <c r="F23" i="5" s="1"/>
  <c r="H22" i="5" l="1"/>
  <c r="H18" i="5"/>
  <c r="J48" i="5"/>
  <c r="J52" i="5" s="1"/>
  <c r="J55" i="5" s="1"/>
  <c r="J60" i="5" s="1"/>
  <c r="J68" i="5" s="1"/>
  <c r="J69" i="5" s="1"/>
  <c r="G19" i="5"/>
  <c r="G30" i="5" s="1"/>
  <c r="F27" i="5"/>
  <c r="E27" i="5"/>
  <c r="E28" i="5" s="1"/>
  <c r="E35" i="5" l="1"/>
  <c r="F26" i="5" s="1"/>
  <c r="F28" i="5" s="1"/>
  <c r="J22" i="5"/>
  <c r="I22" i="5"/>
  <c r="I18" i="5"/>
  <c r="H19" i="5"/>
  <c r="H30" i="5" s="1"/>
  <c r="K48" i="5"/>
  <c r="K52" i="5" s="1"/>
  <c r="K55" i="5" s="1"/>
  <c r="K60" i="5" s="1"/>
  <c r="K68" i="5" s="1"/>
  <c r="K69" i="5" s="1"/>
  <c r="G20" i="5"/>
  <c r="G23" i="5" s="1"/>
  <c r="F35" i="5" l="1"/>
  <c r="G26" i="5" s="1"/>
  <c r="J18" i="5"/>
  <c r="J19" i="5" s="1"/>
  <c r="J30" i="5" s="1"/>
  <c r="G27" i="5"/>
  <c r="L48" i="5"/>
  <c r="L52" i="5" s="1"/>
  <c r="L55" i="5" s="1"/>
  <c r="L60" i="5" s="1"/>
  <c r="L68" i="5" s="1"/>
  <c r="L69" i="5" s="1"/>
  <c r="H20" i="5"/>
  <c r="H23" i="5" s="1"/>
  <c r="I19" i="5"/>
  <c r="I30" i="5" s="1"/>
  <c r="G28" i="5" l="1"/>
  <c r="G35" i="5" s="1"/>
  <c r="H26" i="5" s="1"/>
  <c r="J20" i="5"/>
  <c r="M48" i="5"/>
  <c r="M52" i="5" s="1"/>
  <c r="M55" i="5" s="1"/>
  <c r="M60" i="5" s="1"/>
  <c r="M68" i="5" s="1"/>
  <c r="M69" i="5" s="1"/>
  <c r="I20" i="5"/>
  <c r="I23" i="5" s="1"/>
  <c r="K22" i="5"/>
  <c r="K18" i="5"/>
  <c r="H27" i="5"/>
  <c r="J27" i="5" l="1"/>
  <c r="J23" i="5"/>
  <c r="H28" i="5"/>
  <c r="H35" i="5" s="1"/>
  <c r="I26" i="5" s="1"/>
  <c r="K19" i="5"/>
  <c r="K30" i="5" s="1"/>
  <c r="I27" i="5"/>
  <c r="L22" i="5"/>
  <c r="L18" i="5"/>
  <c r="N48" i="5"/>
  <c r="N52" i="5" s="1"/>
  <c r="N55" i="5" s="1"/>
  <c r="N60" i="5" s="1"/>
  <c r="N68" i="5" s="1"/>
  <c r="N69" i="5" s="1"/>
  <c r="G35" i="20" l="1"/>
  <c r="C26" i="19"/>
  <c r="B35" i="20"/>
  <c r="C35" i="20"/>
  <c r="A35" i="20" s="1"/>
  <c r="I28" i="5"/>
  <c r="I35" i="5" s="1"/>
  <c r="J26" i="5" s="1"/>
  <c r="M22" i="5"/>
  <c r="M18" i="5"/>
  <c r="L19" i="5"/>
  <c r="L30" i="5" s="1"/>
  <c r="O48" i="5"/>
  <c r="O52" i="5" s="1"/>
  <c r="O55" i="5" s="1"/>
  <c r="O60" i="5" s="1"/>
  <c r="O68" i="5" s="1"/>
  <c r="O69" i="5" s="1"/>
  <c r="K20" i="5"/>
  <c r="K23" i="5" s="1"/>
  <c r="J28" i="5" l="1"/>
  <c r="J35" i="5" s="1"/>
  <c r="K26" i="5" s="1"/>
  <c r="P48" i="5"/>
  <c r="P52" i="5" s="1"/>
  <c r="P55" i="5" s="1"/>
  <c r="P60" i="5" s="1"/>
  <c r="P68" i="5" s="1"/>
  <c r="P69" i="5" s="1"/>
  <c r="L20" i="5"/>
  <c r="L23" i="5" s="1"/>
  <c r="M19" i="5"/>
  <c r="M30" i="5" s="1"/>
  <c r="K27" i="5"/>
  <c r="N18" i="5"/>
  <c r="N22" i="5"/>
  <c r="K28" i="5" l="1"/>
  <c r="K35" i="5" s="1"/>
  <c r="L26" i="5" s="1"/>
  <c r="M20" i="5"/>
  <c r="M27" i="5" s="1"/>
  <c r="L27" i="5"/>
  <c r="O18" i="5"/>
  <c r="O22" i="5"/>
  <c r="N19" i="5"/>
  <c r="N30" i="5" s="1"/>
  <c r="Q48" i="5"/>
  <c r="Q52" i="5" s="1"/>
  <c r="Q55" i="5" s="1"/>
  <c r="Q60" i="5" s="1"/>
  <c r="Q68" i="5" s="1"/>
  <c r="Q69" i="5" s="1"/>
  <c r="L28" i="5" l="1"/>
  <c r="L35" i="5" s="1"/>
  <c r="M26" i="5" s="1"/>
  <c r="P22" i="5"/>
  <c r="P18" i="5"/>
  <c r="O19" i="5"/>
  <c r="O30" i="5" s="1"/>
  <c r="N20" i="5"/>
  <c r="N27" i="5" s="1"/>
  <c r="M28" i="5" l="1"/>
  <c r="M35" i="5" s="1"/>
  <c r="N26" i="5" s="1"/>
  <c r="O20" i="5"/>
  <c r="O27" i="5" s="1"/>
  <c r="P19" i="5"/>
  <c r="P30" i="5" s="1"/>
  <c r="Q22" i="5"/>
  <c r="Q18" i="5"/>
  <c r="N28" i="5" l="1"/>
  <c r="N35" i="5" s="1"/>
  <c r="O26" i="5" s="1"/>
  <c r="R22" i="5"/>
  <c r="R18" i="5"/>
  <c r="Q19" i="5"/>
  <c r="Q30" i="5" s="1"/>
  <c r="P20" i="5"/>
  <c r="P27" i="5" s="1"/>
  <c r="O28" i="5" l="1"/>
  <c r="O35" i="5" s="1"/>
  <c r="P26" i="5" s="1"/>
  <c r="S22" i="5"/>
  <c r="S18" i="5"/>
  <c r="R19" i="5"/>
  <c r="R30" i="5" s="1"/>
  <c r="Q20" i="5"/>
  <c r="Q27" i="5" s="1"/>
  <c r="P28" i="5" l="1"/>
  <c r="P35" i="5" s="1"/>
  <c r="Q26" i="5" s="1"/>
  <c r="R20" i="5"/>
  <c r="R27" i="5" s="1"/>
  <c r="T22" i="5"/>
  <c r="T18" i="5"/>
  <c r="S19" i="5"/>
  <c r="S30" i="5" s="1"/>
  <c r="Q28" i="5" l="1"/>
  <c r="Q35" i="5" s="1"/>
  <c r="R26" i="5" s="1"/>
  <c r="R28" i="5" s="1"/>
  <c r="S20" i="5"/>
  <c r="S27" i="5" s="1"/>
  <c r="U22" i="5"/>
  <c r="U18" i="5"/>
  <c r="T19" i="5"/>
  <c r="T30" i="5" s="1"/>
  <c r="R35" i="5" l="1"/>
  <c r="S26" i="5" s="1"/>
  <c r="S28" i="5" s="1"/>
  <c r="T20" i="5"/>
  <c r="T27" i="5" s="1"/>
  <c r="V22" i="5"/>
  <c r="V18" i="5"/>
  <c r="U19" i="5"/>
  <c r="U30" i="5" s="1"/>
  <c r="S35" i="5" l="1"/>
  <c r="T26" i="5" s="1"/>
  <c r="W18" i="5"/>
  <c r="W22" i="5"/>
  <c r="U20" i="5"/>
  <c r="U27" i="5" s="1"/>
  <c r="X22" i="5"/>
  <c r="X18" i="5"/>
  <c r="V19" i="5"/>
  <c r="V30" i="5" s="1"/>
  <c r="T28" i="5" l="1"/>
  <c r="T35" i="5" s="1"/>
  <c r="U26" i="5" s="1"/>
  <c r="W19" i="5"/>
  <c r="W30" i="5" s="1"/>
  <c r="V20" i="5"/>
  <c r="V27" i="5" s="1"/>
  <c r="X19" i="5"/>
  <c r="X30" i="5" s="1"/>
  <c r="U28" i="5" l="1"/>
  <c r="U35" i="5" s="1"/>
  <c r="V26" i="5" s="1"/>
  <c r="W20" i="5"/>
  <c r="W27" i="5" s="1"/>
  <c r="X20" i="5"/>
  <c r="X27" i="5" s="1"/>
  <c r="Y22" i="5"/>
  <c r="Y18" i="5"/>
  <c r="V28" i="5" l="1"/>
  <c r="V35" i="5" s="1"/>
  <c r="W26" i="5" s="1"/>
  <c r="AA22" i="5"/>
  <c r="AA18" i="5"/>
  <c r="Z22" i="5"/>
  <c r="Z18" i="5"/>
  <c r="Y19" i="5"/>
  <c r="Y30" i="5" s="1"/>
  <c r="W28" i="5" l="1"/>
  <c r="W35" i="5" s="1"/>
  <c r="X26" i="5" s="1"/>
  <c r="Z19" i="5"/>
  <c r="Z30" i="5" s="1"/>
  <c r="AA19" i="5"/>
  <c r="AA30" i="5" s="1"/>
  <c r="Y20" i="5"/>
  <c r="Y27" i="5" s="1"/>
  <c r="X28" i="5" l="1"/>
  <c r="X35" i="5" s="1"/>
  <c r="Y26" i="5" s="1"/>
  <c r="Z20" i="5"/>
  <c r="Z27" i="5" s="1"/>
  <c r="AB22" i="5"/>
  <c r="AB18" i="5"/>
  <c r="AA20" i="5"/>
  <c r="AA27" i="5" s="1"/>
  <c r="Y28" i="5" l="1"/>
  <c r="Y35" i="5" s="1"/>
  <c r="Z26" i="5" s="1"/>
  <c r="AB19" i="5"/>
  <c r="AB30" i="5" s="1"/>
  <c r="AC22" i="5"/>
  <c r="AC18" i="5"/>
  <c r="Z28" i="5" l="1"/>
  <c r="Z35" i="5" s="1"/>
  <c r="AA26" i="5" s="1"/>
  <c r="AB20" i="5"/>
  <c r="AB27" i="5" s="1"/>
  <c r="AD18" i="5"/>
  <c r="AD22" i="5"/>
  <c r="AE18" i="5"/>
  <c r="AE22" i="5"/>
  <c r="AC19" i="5"/>
  <c r="AC30" i="5" s="1"/>
  <c r="AA28" i="5" l="1"/>
  <c r="AA35" i="5" s="1"/>
  <c r="AB26" i="5" s="1"/>
  <c r="AF22" i="5"/>
  <c r="H63" i="1" s="1"/>
  <c r="G36" i="20" s="1"/>
  <c r="AF18" i="5"/>
  <c r="AC20" i="5"/>
  <c r="AC27" i="5" s="1"/>
  <c r="AE19" i="5"/>
  <c r="AE30" i="5" s="1"/>
  <c r="AD19" i="5"/>
  <c r="AD30" i="5" s="1"/>
  <c r="C36" i="20" l="1"/>
  <c r="A36" i="20" s="1"/>
  <c r="B36" i="20"/>
  <c r="AB28" i="5"/>
  <c r="AB35" i="5" s="1"/>
  <c r="AC26" i="5" s="1"/>
  <c r="AD20" i="5"/>
  <c r="AD27" i="5" s="1"/>
  <c r="AE20" i="5"/>
  <c r="AE27" i="5" s="1"/>
  <c r="AF19" i="5"/>
  <c r="AF30" i="5" s="1"/>
  <c r="AC28" i="5" l="1"/>
  <c r="AC35" i="5" s="1"/>
  <c r="AD26" i="5" s="1"/>
  <c r="AF20" i="5"/>
  <c r="AF27" i="5" s="1"/>
  <c r="AD28" i="5" l="1"/>
  <c r="AD35" i="5" s="1"/>
  <c r="AE26" i="5" s="1"/>
  <c r="AE28" i="5" l="1"/>
  <c r="AE35" i="5" s="1"/>
  <c r="AF26" i="5" s="1"/>
  <c r="AF28" i="5" l="1"/>
  <c r="AF35" i="5" s="1"/>
  <c r="K93" i="18" l="1"/>
  <c r="K97" i="18" s="1"/>
  <c r="K99" i="18" s="1"/>
  <c r="K100" i="18" s="1"/>
  <c r="K101" i="18" s="1"/>
  <c r="K104" i="18" s="1"/>
  <c r="E59" i="18"/>
  <c r="E62" i="18"/>
  <c r="Q93" i="18"/>
  <c r="Q97" i="18" s="1"/>
  <c r="Q99" i="18" s="1"/>
  <c r="Q100" i="18" s="1"/>
  <c r="Q101" i="18" s="1"/>
  <c r="Q104" i="18" s="1"/>
  <c r="E65" i="18"/>
  <c r="M93" i="18"/>
  <c r="M97" i="18" s="1"/>
  <c r="M99" i="18" s="1"/>
  <c r="M100" i="18" s="1"/>
  <c r="M101" i="18" s="1"/>
  <c r="M104" i="18" s="1"/>
  <c r="E60" i="18"/>
  <c r="E61" i="18" l="1"/>
  <c r="S93" i="18"/>
  <c r="S97" i="18" s="1"/>
  <c r="S99" i="18" s="1"/>
  <c r="S100" i="18" s="1"/>
  <c r="S101" i="18" s="1"/>
  <c r="S104" i="18" s="1"/>
  <c r="E63" i="18"/>
  <c r="U93" i="18"/>
  <c r="U97" i="18" s="1"/>
  <c r="U99" i="18" s="1"/>
  <c r="U100" i="18" s="1"/>
  <c r="U101" i="18" s="1"/>
  <c r="U104" i="18" s="1"/>
  <c r="O93" i="18"/>
  <c r="O97" i="18" s="1"/>
  <c r="O99" i="18" s="1"/>
  <c r="O100" i="18" s="1"/>
  <c r="O101" i="18" s="1"/>
  <c r="O104" i="18" s="1"/>
  <c r="I93" i="18"/>
  <c r="I97" i="18" s="1"/>
  <c r="I99" i="18" s="1"/>
  <c r="I100" i="18" s="1"/>
  <c r="I101" i="18" s="1"/>
  <c r="I104" i="18" s="1"/>
  <c r="E58" i="18"/>
  <c r="E93" i="18" s="1"/>
  <c r="E97" i="18" s="1"/>
  <c r="G93" i="18"/>
  <c r="G97" i="18" s="1"/>
  <c r="G99" i="18" s="1"/>
  <c r="G100" i="18" s="1"/>
  <c r="G101" i="18" s="1"/>
  <c r="G104" i="18" s="1"/>
  <c r="C282" i="6"/>
  <c r="E99" i="18" l="1"/>
  <c r="C286" i="6"/>
  <c r="C283" i="6"/>
  <c r="C429" i="6" s="1"/>
  <c r="C430" i="6" s="1"/>
  <c r="C52" i="5"/>
  <c r="C55" i="5" s="1"/>
  <c r="C60" i="5" s="1"/>
  <c r="C68" i="5" s="1"/>
  <c r="C69" i="5" s="1"/>
  <c r="E100" i="18" l="1"/>
  <c r="E101" i="18" s="1"/>
  <c r="E104" i="18" s="1"/>
  <c r="B14" i="1" s="1" a="1"/>
  <c r="B14" i="1" s="1"/>
  <c r="D282" i="6"/>
  <c r="D283" i="6" s="1"/>
  <c r="D429" i="6" s="1"/>
  <c r="E282" i="6" l="1"/>
  <c r="E283" i="6" s="1"/>
  <c r="E429" i="6" s="1"/>
  <c r="D430" i="6"/>
  <c r="F282" i="6" l="1"/>
  <c r="F283" i="6" s="1"/>
  <c r="F429" i="6" s="1"/>
  <c r="E430" i="6"/>
  <c r="G282" i="6" l="1"/>
  <c r="G283" i="6" s="1"/>
  <c r="G429" i="6" s="1"/>
  <c r="F430" i="6"/>
  <c r="H282" i="6" l="1"/>
  <c r="H283" i="6" s="1"/>
  <c r="H429" i="6" s="1"/>
  <c r="G430" i="6"/>
  <c r="I282" i="6" l="1"/>
  <c r="I283" i="6" s="1"/>
  <c r="I429" i="6" s="1"/>
  <c r="H430" i="6"/>
  <c r="J282" i="6" l="1"/>
  <c r="J283" i="6" s="1"/>
  <c r="J429" i="6" s="1"/>
  <c r="I430" i="6"/>
  <c r="K282" i="6" l="1"/>
  <c r="K283" i="6" s="1"/>
  <c r="K429" i="6" s="1"/>
  <c r="J430" i="6"/>
  <c r="L282" i="6" l="1"/>
  <c r="L283" i="6" s="1"/>
  <c r="L429" i="6" s="1"/>
  <c r="K430" i="6"/>
  <c r="M282" i="6" l="1"/>
  <c r="M283" i="6" s="1"/>
  <c r="M429" i="6" s="1"/>
  <c r="L430" i="6"/>
  <c r="N282" i="6" l="1"/>
  <c r="N283" i="6" s="1"/>
  <c r="N429" i="6" s="1"/>
  <c r="M430" i="6"/>
  <c r="O282" i="6" l="1"/>
  <c r="O283" i="6" s="1"/>
  <c r="O429" i="6" s="1"/>
  <c r="N430" i="6"/>
  <c r="P282" i="6" l="1"/>
  <c r="P283" i="6" s="1"/>
  <c r="P429" i="6" s="1"/>
  <c r="O430" i="6"/>
  <c r="Q282" i="6" l="1"/>
  <c r="Q283" i="6" s="1"/>
  <c r="R282" i="6" s="1"/>
  <c r="R283" i="6" s="1"/>
  <c r="S282" i="6" s="1"/>
  <c r="S283" i="6" s="1"/>
  <c r="T282" i="6" s="1"/>
  <c r="T283" i="6" s="1"/>
  <c r="U282" i="6" s="1"/>
  <c r="U283" i="6" s="1"/>
  <c r="V282" i="6" s="1"/>
  <c r="V283" i="6" s="1"/>
  <c r="W282" i="6" s="1"/>
  <c r="W283" i="6" s="1"/>
  <c r="X282" i="6" s="1"/>
  <c r="X283" i="6" s="1"/>
  <c r="Y282" i="6" s="1"/>
  <c r="Y283" i="6" s="1"/>
  <c r="Z282" i="6" s="1"/>
  <c r="Z283" i="6" s="1"/>
  <c r="AA282" i="6" s="1"/>
  <c r="AA283" i="6" s="1"/>
  <c r="AB282" i="6" s="1"/>
  <c r="AB283" i="6" s="1"/>
  <c r="AC282" i="6" s="1"/>
  <c r="AC283" i="6" s="1"/>
  <c r="AD282" i="6" s="1"/>
  <c r="AD283" i="6" s="1"/>
  <c r="AE282" i="6" s="1"/>
  <c r="AE283" i="6" s="1"/>
  <c r="P4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Josh Slade</author>
    <author>Emma Slonim</author>
  </authors>
  <commentList>
    <comment ref="B13" authorId="0" shapeId="0" xr:uid="{41408FB7-13C8-4DE0-8B2A-292C22340326}">
      <text>
        <r>
          <rPr>
            <sz val="9"/>
            <color indexed="81"/>
            <rFont val="Tahoma"/>
            <family val="2"/>
          </rPr>
          <t>Select Minimum Set-Aside</t>
        </r>
      </text>
    </comment>
    <comment ref="A17" authorId="1" shapeId="0" xr:uid="{7EFD2E3D-28E1-4890-85E9-B7C4B75B8A10}">
      <text>
        <r>
          <rPr>
            <sz val="9"/>
            <color indexed="81"/>
            <rFont val="Tahoma"/>
            <family val="2"/>
          </rPr>
          <t>Input cap rate from appraisal if available</t>
        </r>
      </text>
    </comment>
    <comment ref="A18" authorId="0" shapeId="0" xr:uid="{BDE8ABB3-0EC1-4D9E-A0C0-5C9AFBEEE68C}">
      <text>
        <r>
          <rPr>
            <sz val="9"/>
            <color rgb="FF000000"/>
            <rFont val="Tahoma"/>
            <family val="2"/>
          </rPr>
          <t>Select type of credit.</t>
        </r>
      </text>
    </comment>
    <comment ref="B23" authorId="0" shapeId="0" xr:uid="{0B6772C1-0B38-4D67-99FD-BC3ABC2DED36}">
      <text>
        <r>
          <rPr>
            <sz val="9"/>
            <color rgb="FF000000"/>
            <rFont val="Tahoma"/>
            <family val="2"/>
          </rPr>
          <t>For Zero Percent Deferred loans, only enter the loan amount and leave the rate, amortization period and term at zero</t>
        </r>
      </text>
    </comment>
    <comment ref="D23" authorId="1" shapeId="0" xr:uid="{7F17050C-4946-4052-9639-F6E18D25350E}">
      <text>
        <r>
          <rPr>
            <sz val="9"/>
            <color indexed="81"/>
            <rFont val="Tahoma"/>
            <family val="2"/>
          </rPr>
          <t>For a loan structure that is Principal Payments Only set the interest rate to zero and input the Term and Amortization Period (this can have a balloon)</t>
        </r>
      </text>
    </comment>
    <comment ref="E23" authorId="1" shapeId="0" xr:uid="{5C31D2EE-00A4-48DA-AA61-B6CCA3B02C5E}">
      <text>
        <r>
          <rPr>
            <sz val="9"/>
            <color indexed="81"/>
            <rFont val="Tahoma"/>
            <family val="2"/>
          </rPr>
          <t>For Interest Only loans, leave the amortiziation at zero and input an interest rate and term</t>
        </r>
      </text>
    </comment>
    <comment ref="F23" authorId="0" shapeId="0" xr:uid="{EDE47BD6-CBBC-4062-881B-42722B8B2327}">
      <text>
        <r>
          <rPr>
            <sz val="9"/>
            <color indexed="81"/>
            <rFont val="Tahoma"/>
            <family val="2"/>
          </rPr>
          <t>For a balloon payment loan, enter a number lower than the amortization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Joe Erdelyi</author>
  </authors>
  <commentList>
    <comment ref="F3" authorId="0" shapeId="0" xr:uid="{00000000-0006-0000-0200-000001000000}">
      <text>
        <r>
          <rPr>
            <sz val="10"/>
            <color indexed="81"/>
            <rFont val="Tahoma"/>
            <family val="2"/>
          </rPr>
          <t>This is calculated on the residential portion only, of the building's costs.</t>
        </r>
      </text>
    </comment>
    <comment ref="G3" authorId="0" shapeId="0" xr:uid="{00000000-0006-0000-0200-000002000000}">
      <text>
        <r>
          <rPr>
            <sz val="10"/>
            <color indexed="81"/>
            <rFont val="Tahoma"/>
            <family val="2"/>
          </rPr>
          <t>This is TDC per square footage for entire building, not residential-only per square foot cost if building is mixed 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Josh Slade</author>
    <author>Emma Slonim</author>
    <author>Olivia LaVecchia</author>
  </authors>
  <commentList>
    <comment ref="AB3" authorId="0" shapeId="0" xr:uid="{F90ACAA5-AFAA-4713-8F2C-F7F81968B871}">
      <text>
        <r>
          <rPr>
            <b/>
            <sz val="9"/>
            <color indexed="81"/>
            <rFont val="Tahoma"/>
            <family val="2"/>
          </rPr>
          <t>Modify column below as needed</t>
        </r>
        <r>
          <rPr>
            <sz val="9"/>
            <color indexed="81"/>
            <rFont val="Tahoma"/>
            <family val="2"/>
          </rPr>
          <t xml:space="preserve">
</t>
        </r>
      </text>
    </comment>
    <comment ref="AC3" authorId="0" shapeId="0" xr:uid="{CDEBA03B-D353-414B-9976-22DCB95D7F65}">
      <text>
        <r>
          <rPr>
            <b/>
            <sz val="9"/>
            <color indexed="81"/>
            <rFont val="Tahoma"/>
            <family val="2"/>
          </rPr>
          <t>Modify column below as needed</t>
        </r>
        <r>
          <rPr>
            <sz val="9"/>
            <color indexed="81"/>
            <rFont val="Tahoma"/>
            <family val="2"/>
          </rPr>
          <t xml:space="preserve">
</t>
        </r>
      </text>
    </comment>
    <comment ref="AD3" authorId="1" shapeId="0" xr:uid="{0CA556CE-EA1C-4B3E-944A-A675092042E5}">
      <text>
        <r>
          <rPr>
            <b/>
            <sz val="9"/>
            <color indexed="81"/>
            <rFont val="Tahoma"/>
            <family val="2"/>
          </rPr>
          <t xml:space="preserve">Modify column below as needed
</t>
        </r>
      </text>
    </comment>
    <comment ref="B99" authorId="0" shapeId="0" xr:uid="{AD551DE9-1C0C-4FA6-921C-E4D57CF7161F}">
      <text>
        <r>
          <rPr>
            <b/>
            <sz val="9"/>
            <color indexed="81"/>
            <rFont val="Tahoma"/>
            <family val="2"/>
          </rPr>
          <t>Use drop down to select appropriate adjustment type or none.</t>
        </r>
      </text>
    </comment>
    <comment ref="C99" authorId="2" shapeId="0" xr:uid="{2DEA5F55-F8AD-4969-81C3-4AE51E950601}">
      <text>
        <r>
          <rPr>
            <sz val="9"/>
            <color indexed="81"/>
            <rFont val="Tahoma"/>
            <family val="2"/>
          </rPr>
          <t>Change this cell to 100% or 130% (or other number if applicable).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Joe Erdelyi</author>
  </authors>
  <commentList>
    <comment ref="C36" authorId="0" shapeId="0" xr:uid="{84CB4211-5333-476A-A40E-3AFC0E16BCF1}">
      <text>
        <r>
          <rPr>
            <sz val="9"/>
            <color indexed="81"/>
            <rFont val="Tahoma"/>
            <family val="2"/>
          </rPr>
          <t>If any income from resident manager unit, include here and identify.</t>
        </r>
      </text>
    </comment>
    <comment ref="C37" authorId="0" shapeId="0" xr:uid="{E30BEFEE-2C50-4678-B675-0D67CB1E7269}">
      <text>
        <r>
          <rPr>
            <sz val="9"/>
            <color indexed="81"/>
            <rFont val="Tahoma"/>
            <family val="2"/>
          </rPr>
          <t>If any income from resident manager unit, include here and identify.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Emma Slonim</author>
    <author>Olivia LaVecchia</author>
    <author>Josh Slade</author>
    <author>Joe Erdelyi</author>
  </authors>
  <commentList>
    <comment ref="A4" authorId="0" shapeId="0" xr:uid="{892C5CC1-8402-4E5F-B702-C9B86EF1C9B7}">
      <text>
        <r>
          <rPr>
            <b/>
            <sz val="9"/>
            <color indexed="81"/>
            <rFont val="Tahoma"/>
            <family val="2"/>
          </rPr>
          <t xml:space="preserve">For projects with multiple buildings, dropdown fills from "Building Key" in rent summary tab. Leave blank for projects with one building. 
</t>
        </r>
      </text>
    </comment>
    <comment ref="R4" authorId="1" shapeId="0" xr:uid="{F0F57326-7AE9-4610-A0C0-3884FDD3B555}">
      <text>
        <r>
          <rPr>
            <sz val="9"/>
            <color indexed="81"/>
            <rFont val="Tahoma"/>
            <family val="2"/>
          </rPr>
          <t>'Paint-to-paint' interior residential rental unit square footages.</t>
        </r>
      </text>
    </comment>
    <comment ref="V4" authorId="1" shapeId="0" xr:uid="{D57B93C3-943A-4FE5-8D1E-9F6926004A6A}">
      <text>
        <r>
          <rPr>
            <sz val="9"/>
            <color indexed="81"/>
            <rFont val="Tahoma"/>
            <family val="2"/>
          </rPr>
          <t>This area relates to the Threshold requirement to meet the minimum set-aside.</t>
        </r>
      </text>
    </comment>
    <comment ref="AD4" authorId="1" shapeId="0" xr:uid="{0D2281D3-A17C-49FC-859A-6DD30184C649}">
      <text>
        <r>
          <rPr>
            <sz val="9"/>
            <color indexed="81"/>
            <rFont val="Tahoma"/>
            <family val="2"/>
          </rPr>
          <t>=Gross rent/100% AMI rent for bedroom size in county
This area relates to the Evaluation Criteria for affordability (but is required for both 9% and 4% projects).</t>
        </r>
      </text>
    </comment>
    <comment ref="AN4" authorId="2" shapeId="0" xr:uid="{F1674F57-4104-4C25-9B45-407EFD00A4C8}">
      <text>
        <r>
          <rPr>
            <sz val="9"/>
            <color indexed="81"/>
            <rFont val="Tahoma"/>
            <family val="2"/>
          </rPr>
          <t>Will populate when Average Income Test minimum set aside is selected on Assumptions tab.</t>
        </r>
      </text>
    </comment>
    <comment ref="R101" authorId="3" shapeId="0" xr:uid="{00000000-0006-0000-0500-000002000000}">
      <text>
        <r>
          <rPr>
            <sz val="9"/>
            <color rgb="FF000000"/>
            <rFont val="Tahoma"/>
            <family val="2"/>
          </rPr>
          <t>'Paint-to-paint' interior residential rental unit square footages; this is used for LIHTC Applicable Fraction along with "Housing Credit Sq. Footage."</t>
        </r>
      </text>
    </comment>
    <comment ref="AN101" authorId="2" shapeId="0" xr:uid="{C057EB89-23D3-4C30-81B4-664A6761EAFC}">
      <text>
        <r>
          <rPr>
            <sz val="9"/>
            <color indexed="81"/>
            <rFont val="Tahoma"/>
            <family val="2"/>
          </rPr>
          <t xml:space="preserve">All HC units must be designated an AMI limit in order to calculate AIT
</t>
        </r>
      </text>
    </comment>
    <comment ref="R102" authorId="1" shapeId="0" xr:uid="{1B6C62ED-6215-445B-89E5-6D7DAEB52ED9}">
      <text>
        <r>
          <rPr>
            <sz val="9"/>
            <color indexed="81"/>
            <rFont val="Tahoma"/>
            <family val="2"/>
          </rPr>
          <t>"Gross residential sq. footage from plans, exterior wall to exterior wall" MINUS "'paint-to-paint' interior residential rental unit sq.footages"; calculation does not include unoccupied basement, unconditioned, or commercial space.
Don't forget to include manager's unit in this calculation.</t>
        </r>
      </text>
    </comment>
    <comment ref="R103" authorId="3" shapeId="0" xr:uid="{00000000-0006-0000-0500-000003000000}">
      <text>
        <r>
          <rPr>
            <sz val="9"/>
            <color indexed="81"/>
            <rFont val="Tahoma"/>
            <family val="2"/>
          </rPr>
          <t>Gross residential square footage from plans, exterior wall to exterior wall; this cell is the sum of the two cells above.</t>
        </r>
      </text>
    </comment>
    <comment ref="R104" authorId="1" shapeId="0" xr:uid="{037EED9A-28B0-479E-809A-79CE1DC8A85E}">
      <text>
        <r>
          <rPr>
            <sz val="9"/>
            <color indexed="81"/>
            <rFont val="Tahoma"/>
            <family val="2"/>
          </rPr>
          <t>Any non-residential conditioned space.</t>
        </r>
      </text>
    </comment>
    <comment ref="R105" authorId="1" shapeId="0" xr:uid="{0295F210-AC97-4F56-A8F0-3765E73A7EA2}">
      <text>
        <r>
          <rPr>
            <sz val="9"/>
            <color indexed="81"/>
            <rFont val="Tahoma"/>
            <family val="2"/>
          </rPr>
          <t>All conditioned space in building; this cell is the sum of the two cells above and is used for the psf calculation in "sources-uses" tab.</t>
        </r>
      </text>
    </comment>
    <comment ref="R108" authorId="1" shapeId="0" xr:uid="{BFE60012-0F9E-46FA-800D-D92757F097F9}">
      <text>
        <r>
          <rPr>
            <sz val="9"/>
            <color indexed="81"/>
            <rFont val="Tahoma"/>
            <family val="2"/>
          </rPr>
          <t>All building gross sq. footage (residential, commercial, unconditioned, and covered parking).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joee</author>
    <author>Josh Slade</author>
  </authors>
  <commentList>
    <comment ref="A54" authorId="0" shapeId="0" xr:uid="{00000000-0006-0000-0700-000001000000}">
      <text>
        <r>
          <rPr>
            <sz val="8"/>
            <color indexed="81"/>
            <rFont val="Tahoma"/>
            <family val="2"/>
          </rPr>
          <t xml:space="preserve">
although projects have some cash flow, it is rarely syndicated</t>
        </r>
      </text>
    </comment>
    <comment ref="A56" authorId="1" shapeId="0" xr:uid="{BAB3EAC7-FF94-4B02-A0FB-A2958FFD807E}">
      <text>
        <r>
          <rPr>
            <b/>
            <sz val="9"/>
            <color indexed="81"/>
            <rFont val="Tahoma"/>
            <family val="2"/>
          </rPr>
          <t>Five year credit</t>
        </r>
      </text>
    </comment>
    <comment ref="A57" authorId="1" shapeId="0" xr:uid="{D2C039B0-B52C-409A-A1A9-B45DEC733088}">
      <text>
        <r>
          <rPr>
            <b/>
            <sz val="9"/>
            <color indexed="81"/>
            <rFont val="Tahoma"/>
            <family val="2"/>
          </rPr>
          <t>These are currently only one year credits</t>
        </r>
      </text>
    </comment>
    <comment ref="A58" authorId="1" shapeId="0" xr:uid="{8483F5EF-ECE7-4F89-9586-D67E2567988E}">
      <text>
        <r>
          <rPr>
            <b/>
            <sz val="9"/>
            <color indexed="81"/>
            <rFont val="Tahoma"/>
            <family val="2"/>
          </rPr>
          <t>5 year credit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Emma Slonim</author>
  </authors>
  <commentList>
    <comment ref="A428" authorId="0" shapeId="0" xr:uid="{12C09E4D-FBFE-4F2F-9A17-277E9B27B12F}">
      <text>
        <r>
          <rPr>
            <sz val="9"/>
            <color indexed="81"/>
            <rFont val="Tahoma"/>
            <family val="2"/>
          </rPr>
          <t>Calculates from NOI and default cap rate of 7.5%, or actual cap rate if provided in</t>
        </r>
        <r>
          <rPr>
            <b/>
            <sz val="9"/>
            <color indexed="81"/>
            <rFont val="Tahoma"/>
            <family val="2"/>
          </rPr>
          <t xml:space="preserve"> </t>
        </r>
        <r>
          <rPr>
            <sz val="9"/>
            <color indexed="81"/>
            <rFont val="Tahoma"/>
            <family val="2"/>
          </rPr>
          <t>assumptions B17</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Olivia LaVecchia</author>
  </authors>
  <commentList>
    <comment ref="C142" authorId="0" shapeId="0" xr:uid="{3904B450-BA30-49F2-9EE0-3972E91D3684}">
      <text>
        <r>
          <rPr>
            <sz val="9"/>
            <color indexed="81"/>
            <rFont val="Tahoma"/>
            <family val="2"/>
          </rPr>
          <t>If a 4% project, please enter aggregate basis for 25% test in cell D32.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<sst xmlns="http://schemas.openxmlformats.org/spreadsheetml/2006/main" count="1696" uniqueCount="830">
  <si>
    <t>Section Name</t>
  </si>
  <si>
    <t>Field name</t>
  </si>
  <si>
    <t>Text Field Value (Single Line Text)</t>
  </si>
  <si>
    <t>Selected Value(Checkbox, Radio, dropDown)</t>
  </si>
  <si>
    <t>Rich Value</t>
  </si>
  <si>
    <t>Table Value</t>
  </si>
  <si>
    <t>Formatted field value</t>
  </si>
  <si>
    <t>BP Field name</t>
  </si>
  <si>
    <t>BP Section Name</t>
  </si>
  <si>
    <t>Field name on Proforma</t>
  </si>
  <si>
    <t>Field Type</t>
  </si>
  <si>
    <t>Format</t>
  </si>
  <si>
    <t>Field value</t>
  </si>
  <si>
    <t>Table value: columns separated by ; and rows separated by |</t>
  </si>
  <si>
    <t>%</t>
  </si>
  <si>
    <t xml:space="preserve">BASIC DETAILS </t>
  </si>
  <si>
    <t>USES AT PERMANENT CLOSING</t>
  </si>
  <si>
    <t>AMOUNT (IN DOLLARS)</t>
  </si>
  <si>
    <t>% of  total</t>
  </si>
  <si>
    <t>USES AT CONSTRUCTION</t>
  </si>
  <si>
    <t>Acquisition Cost</t>
  </si>
  <si>
    <t>DEAL NAME</t>
  </si>
  <si>
    <t>Total Hard Costs</t>
  </si>
  <si>
    <t>Total Hard Cost Contingency</t>
  </si>
  <si>
    <t>LEGAL NAME</t>
  </si>
  <si>
    <t>Total Soft Costs</t>
  </si>
  <si>
    <t>Total Soft Cost Contingency</t>
  </si>
  <si>
    <t>DEVELOPER  NAME</t>
  </si>
  <si>
    <t>Developer Fees</t>
  </si>
  <si>
    <t>Developer Fee/Profit</t>
  </si>
  <si>
    <t>DEAL STATUS</t>
  </si>
  <si>
    <t>ACTIVE</t>
  </si>
  <si>
    <t xml:space="preserve">DEAL PHASE </t>
  </si>
  <si>
    <t>UNDERWRITING</t>
  </si>
  <si>
    <t>LOCATION</t>
  </si>
  <si>
    <t>STREET ADDRESS</t>
  </si>
  <si>
    <t>CITY</t>
  </si>
  <si>
    <t>MSA</t>
  </si>
  <si>
    <t>COUNTY</t>
  </si>
  <si>
    <t>STATE</t>
  </si>
  <si>
    <t>NEW YORK - NY</t>
  </si>
  <si>
    <t>ZIP CODE</t>
  </si>
  <si>
    <t>TOTAL USES AT PERMANENT CLOSING</t>
  </si>
  <si>
    <t>total of sources should always equal uses at construction</t>
  </si>
  <si>
    <t>TOTAL USES @ CONSTRUCTION CLOSING</t>
  </si>
  <si>
    <t>COUNTRY</t>
  </si>
  <si>
    <t>United States</t>
  </si>
  <si>
    <t>SOURCES AT PERMANENT CLOSING</t>
  </si>
  <si>
    <t>SOURCES AT CONSTRUCTION</t>
  </si>
  <si>
    <t>PROJECT DETAILS</t>
  </si>
  <si>
    <t>PROJECT TYPE</t>
  </si>
  <si>
    <t xml:space="preserve">MULTIFAMILY RESIDENTIAL </t>
  </si>
  <si>
    <t>TOTAL UNITS</t>
  </si>
  <si>
    <t>This is a sum(C39:C43)</t>
  </si>
  <si>
    <t>TOTAL RESIDENTIAL S.F.</t>
  </si>
  <si>
    <t>TOTAL COMMERCIAL S.F.</t>
  </si>
  <si>
    <t>TOTAL S.F.</t>
  </si>
  <si>
    <t xml:space="preserve">This is a sum  of C33,C34. </t>
  </si>
  <si>
    <t>TOTAL PARKING COUNT</t>
  </si>
  <si>
    <t>UNIT MIX</t>
  </si>
  <si>
    <t>STUDIO</t>
  </si>
  <si>
    <t>1 BEDROOM</t>
  </si>
  <si>
    <t>2 BEDROOM</t>
  </si>
  <si>
    <t>3 BEDROOM</t>
  </si>
  <si>
    <t>4 BEDROOM</t>
  </si>
  <si>
    <t>TOTAL SOURCES @ PERMANENT CLOSING</t>
  </si>
  <si>
    <t>TOTAL SOURCES @ CONSTRUCTION CLOSING</t>
  </si>
  <si>
    <t xml:space="preserve">AMENITIES </t>
  </si>
  <si>
    <t>Sanity check</t>
  </si>
  <si>
    <t>METRICS</t>
  </si>
  <si>
    <t>Do sources @ perm match uses @perm closing?</t>
  </si>
  <si>
    <t>COMMUNITY ROOM</t>
  </si>
  <si>
    <t>Square footage</t>
  </si>
  <si>
    <t>POOL</t>
  </si>
  <si>
    <t>Total Cost Of Project/S.F.</t>
  </si>
  <si>
    <t>LAUNDRY ROOM</t>
  </si>
  <si>
    <t>Total Hard Costs /S.F.</t>
  </si>
  <si>
    <t>WASHER DRYER HOOKUP</t>
  </si>
  <si>
    <t>Total Soft Costs /S.F.</t>
  </si>
  <si>
    <t>WASHER DRYER IN UNIT</t>
  </si>
  <si>
    <t>Total Construction Loan Amount</t>
  </si>
  <si>
    <t>COURTYARD</t>
  </si>
  <si>
    <t>Term</t>
  </si>
  <si>
    <t>PLAYAREA</t>
  </si>
  <si>
    <t>No. Of Extensions</t>
  </si>
  <si>
    <t>SECURITY CAMERAS</t>
  </si>
  <si>
    <t>Extension Time Period (Months)</t>
  </si>
  <si>
    <t>SECURITY ON SITE</t>
  </si>
  <si>
    <t>Interest Rate</t>
  </si>
  <si>
    <t>Fixed/Variable</t>
  </si>
  <si>
    <t>Index Name</t>
  </si>
  <si>
    <t>Construction Time Period (Months)</t>
  </si>
  <si>
    <t>Lease-Up Period (Months)</t>
  </si>
  <si>
    <t>Total Permanent Loan Amount</t>
  </si>
  <si>
    <t>Debt Service Coverage Ratio (DSCR)</t>
  </si>
  <si>
    <t>WALK SCORE</t>
  </si>
  <si>
    <t>It is a score 1 to 10 and should not allow any different value</t>
  </si>
  <si>
    <t>Net Operating Income (NOI)</t>
  </si>
  <si>
    <t>Loan To Value</t>
  </si>
  <si>
    <t>Amortization</t>
  </si>
  <si>
    <t>Annual U/W Operating Costs</t>
  </si>
  <si>
    <t>Total Operating Cost/S.F.</t>
  </si>
  <si>
    <t>Total Operating Cost/Unit</t>
  </si>
  <si>
    <t>DROP DOWN DEAL STATUS</t>
  </si>
  <si>
    <t>DROP DOWN DEAL PHASE</t>
  </si>
  <si>
    <t>RENT TYPE</t>
  </si>
  <si>
    <t>DEVELOPMENT BUDGET TYPE</t>
  </si>
  <si>
    <t>DEVELOPMENT BUDGET SUBTYPE</t>
  </si>
  <si>
    <t>DEV BUDGET SUB-TYPE PICKER</t>
  </si>
  <si>
    <t>Column1</t>
  </si>
  <si>
    <t>30% AMI</t>
  </si>
  <si>
    <t>Acquisition Costs</t>
  </si>
  <si>
    <t>Land Acquisition</t>
  </si>
  <si>
    <t>Acquisition Costs - Land Acquisition</t>
  </si>
  <si>
    <t>PROSPECT</t>
  </si>
  <si>
    <t>ACQUISTION</t>
  </si>
  <si>
    <t>ALABAMA - AL</t>
  </si>
  <si>
    <t>RESIDENTIAL</t>
  </si>
  <si>
    <t>40% AMI</t>
  </si>
  <si>
    <t>Building Acquisition</t>
  </si>
  <si>
    <t>Acquisition Costs - Building Acquisition</t>
  </si>
  <si>
    <t>PRE-DEVELOPMENT</t>
  </si>
  <si>
    <t>ALASKA - AK</t>
  </si>
  <si>
    <t>Hard Costs</t>
  </si>
  <si>
    <t>Trade Cost</t>
  </si>
  <si>
    <t>Hard Costs - Trade Cost</t>
  </si>
  <si>
    <t>ARCHIVE</t>
  </si>
  <si>
    <t>ARIZONA - AZ</t>
  </si>
  <si>
    <t>COMMERCIAL</t>
  </si>
  <si>
    <t>Miscellaneous</t>
  </si>
  <si>
    <t>Hard Costs - Miscellaneous</t>
  </si>
  <si>
    <t>DEAD DEAL</t>
  </si>
  <si>
    <t>CONSTRUCTION</t>
  </si>
  <si>
    <t>ARKANSAS - AR</t>
  </si>
  <si>
    <t>MIXED USE</t>
  </si>
  <si>
    <t>Hard Cost Contingency</t>
  </si>
  <si>
    <t>Hard Cost Contingency - Hard Cost Contingency</t>
  </si>
  <si>
    <t>LEASE-UP</t>
  </si>
  <si>
    <t>CALIFORNIA - CA</t>
  </si>
  <si>
    <t>RETAIL</t>
  </si>
  <si>
    <t>Soft Costs</t>
  </si>
  <si>
    <t>Professional Fees</t>
  </si>
  <si>
    <t>Soft Costs - Professional Fees</t>
  </si>
  <si>
    <t>ASSET-MANAGEMENT</t>
  </si>
  <si>
    <t>COLORADO - CO</t>
  </si>
  <si>
    <t>Third Party Reports</t>
  </si>
  <si>
    <t>Soft Costs - Third Party Reports</t>
  </si>
  <si>
    <t>CONNECTICUT - CT</t>
  </si>
  <si>
    <t>Fees and Interest</t>
  </si>
  <si>
    <t>Soft Costs - Fees and Interest</t>
  </si>
  <si>
    <t>DELAWARE - DE</t>
  </si>
  <si>
    <t>Conversion and Lease up costs</t>
  </si>
  <si>
    <t>Soft Costs - Conversion and Lease up costs</t>
  </si>
  <si>
    <t>FLORIDA - FL</t>
  </si>
  <si>
    <t>Developer Fees - Developer Fees</t>
  </si>
  <si>
    <t>GEORGIA - GA</t>
  </si>
  <si>
    <t>Soft Cost Contingency</t>
  </si>
  <si>
    <t>Soft Cost Contingency - Soft Cost Contingency</t>
  </si>
  <si>
    <t>HAWAII - HI</t>
  </si>
  <si>
    <t>IDAHO - ID</t>
  </si>
  <si>
    <t>ILLINOIS - IL</t>
  </si>
  <si>
    <t>INDIANA - IN</t>
  </si>
  <si>
    <t>IOWA - IA</t>
  </si>
  <si>
    <t>KANSAS - KS</t>
  </si>
  <si>
    <t>KENTUCKY - KY</t>
  </si>
  <si>
    <t>LOUISIANA - LA</t>
  </si>
  <si>
    <t>MAINE - ME</t>
  </si>
  <si>
    <t>MARYLAND - MD</t>
  </si>
  <si>
    <t>MASSACHUSETTS - MA</t>
  </si>
  <si>
    <t>MICHIGAN - MI</t>
  </si>
  <si>
    <t>MINNESOTA - MN</t>
  </si>
  <si>
    <t>MISSISSIPPI - MS</t>
  </si>
  <si>
    <t>MISSOURI - MO</t>
  </si>
  <si>
    <t>MONTANA - MT</t>
  </si>
  <si>
    <t>NEBRASKA - NE</t>
  </si>
  <si>
    <t>NEVADA - NV</t>
  </si>
  <si>
    <t>NEW HAMPSHIRE - NH</t>
  </si>
  <si>
    <t>NEW JERSEY - NJ</t>
  </si>
  <si>
    <t>NEW MEXICO - NM</t>
  </si>
  <si>
    <t>NORTH CAROLINA - NC</t>
  </si>
  <si>
    <t>NORTH DAKOTA - ND</t>
  </si>
  <si>
    <t>OHIO - OH</t>
  </si>
  <si>
    <t>OKLAHOMA - OK</t>
  </si>
  <si>
    <t>OREGON - OR</t>
  </si>
  <si>
    <t>PENNSYLVANIA - PA</t>
  </si>
  <si>
    <t>RHODE ISLAND - RI</t>
  </si>
  <si>
    <t>SOUTH CAROLINA - SC</t>
  </si>
  <si>
    <t>SOUTH DAKOTA - SD</t>
  </si>
  <si>
    <t>TENNESSEE- TN</t>
  </si>
  <si>
    <t>TEXAS - TX</t>
  </si>
  <si>
    <t>UTAH - UT</t>
  </si>
  <si>
    <t>VERMONT - VT</t>
  </si>
  <si>
    <t>VIRGINIA - VA</t>
  </si>
  <si>
    <t>WASHINGTON - WA</t>
  </si>
  <si>
    <t>WEST VIRGINIA - WV</t>
  </si>
  <si>
    <t>WISCONSIN - WI</t>
  </si>
  <si>
    <t>WYOMING - WY</t>
  </si>
  <si>
    <t>AMERICAN SAMOA - AS</t>
  </si>
  <si>
    <t>DISTRICT OF COLUMBIA - DC</t>
  </si>
  <si>
    <t>FEDERATED STATES OF MICRONESIA - FM</t>
  </si>
  <si>
    <t>GUAM - GU</t>
  </si>
  <si>
    <t>MARSHALL ISLANDS - MH</t>
  </si>
  <si>
    <t>NORTHERN MARIANA ISLANDS - MP</t>
  </si>
  <si>
    <t>PALAU - PW</t>
  </si>
  <si>
    <t>PUERTO RICO - PR</t>
  </si>
  <si>
    <t>VIRGIN ISLANDS - VI</t>
  </si>
  <si>
    <t>DEVELOPMENT BUDGET SUB TYPE</t>
  </si>
  <si>
    <t>DEVELOPMENT BUDGET LINE ITEM</t>
  </si>
  <si>
    <t>Position</t>
  </si>
  <si>
    <t>Miscellaneous Items</t>
  </si>
  <si>
    <t>soft_cost_professional_data</t>
  </si>
  <si>
    <t>soft_cost_3rd_party_data</t>
  </si>
  <si>
    <t>soft_cost_fee_and_interest_data</t>
  </si>
  <si>
    <t>soft_cost_operating_reserve_data</t>
  </si>
  <si>
    <t>Unit Type</t>
  </si>
  <si>
    <t>POSITION</t>
  </si>
  <si>
    <t>No. of bedrooms</t>
  </si>
  <si>
    <t>No. of Units</t>
  </si>
  <si>
    <t>No. of Bathrooms</t>
  </si>
  <si>
    <t>No. of Rooms</t>
  </si>
  <si>
    <t>Avg Sq. Ft/Unit</t>
  </si>
  <si>
    <t>Total Sq. Ft</t>
  </si>
  <si>
    <t>Income Restriction</t>
  </si>
  <si>
    <t>Rent Restriction</t>
  </si>
  <si>
    <t>Gross Monthly Rent</t>
  </si>
  <si>
    <t>Utility Allowance</t>
  </si>
  <si>
    <t>Net Rent/Month</t>
  </si>
  <si>
    <t>Total Annual Rent</t>
  </si>
  <si>
    <t>Fair Market Rent</t>
  </si>
  <si>
    <t>% below market</t>
  </si>
  <si>
    <t>Max LIHTC</t>
  </si>
  <si>
    <t>% below MAX LIHTC</t>
  </si>
  <si>
    <t>INCOME-OPEX TYPE</t>
  </si>
  <si>
    <t>INCOME-OPEX SUBTYPE</t>
  </si>
  <si>
    <t>INCOME-OPEX ITEM</t>
  </si>
  <si>
    <t>VALUE</t>
  </si>
  <si>
    <t>PERCENT</t>
  </si>
  <si>
    <t>Gross Potential Income</t>
  </si>
  <si>
    <t>Gross Potential Rent</t>
  </si>
  <si>
    <t>Residential Income</t>
  </si>
  <si>
    <t>Less Income</t>
  </si>
  <si>
    <t>Income Loss</t>
  </si>
  <si>
    <t>Total Other Income</t>
  </si>
  <si>
    <t>Other Income</t>
  </si>
  <si>
    <t>Net Rental Income</t>
  </si>
  <si>
    <t>Total Effective Gross Income (EGI)</t>
  </si>
  <si>
    <t>Operating Expenses</t>
  </si>
  <si>
    <t>Management</t>
  </si>
  <si>
    <t>Operating Costs</t>
  </si>
  <si>
    <t>Administration</t>
  </si>
  <si>
    <t>Repair &amp; Management</t>
  </si>
  <si>
    <t>Utilities</t>
  </si>
  <si>
    <t>Taxes</t>
  </si>
  <si>
    <t>Insurance</t>
  </si>
  <si>
    <t>Total Gross Expenses</t>
  </si>
  <si>
    <t>Replacement Reserves</t>
  </si>
  <si>
    <t>Total Expenses</t>
  </si>
  <si>
    <t>Debt Service</t>
  </si>
  <si>
    <t>NOI</t>
  </si>
  <si>
    <t>Net Cash Flow</t>
  </si>
  <si>
    <t xml:space="preserve">Debt Service Coverage Ratio (DSCR) </t>
  </si>
  <si>
    <t>Operating Expense Ratio (OER)</t>
  </si>
  <si>
    <t>Breakeven Occupancy Ratio</t>
  </si>
  <si>
    <t>f5</t>
  </si>
  <si>
    <t>Negative</t>
  </si>
  <si>
    <t>f7</t>
  </si>
  <si>
    <t>overall:</t>
  </si>
  <si>
    <t xml:space="preserve">Cells highlighted in green need to be entered. The proforma is locked, except for the green cells. Most tabs have +/- at the top and sides of the Excel to expand for more source options or additional buildings. If you need a change to the proforma, please contact the VHFA development department (developmentdept@vhfa.org) with your request. </t>
  </si>
  <si>
    <t>assumptions:</t>
  </si>
  <si>
    <t>For loans that do not traditionally amortize, there are four notes on the assumptions tab that will help you create different loan structures for the VHIF loan (zero percent deferred, principal only, interest only, balloon). This row can also be used for other secondary loans.</t>
  </si>
  <si>
    <t xml:space="preserve">If you need to add additional sources, make sure you use the + on the left side of the Excel to modify as needed. </t>
  </si>
  <si>
    <t>project budget:</t>
  </si>
  <si>
    <t>Please enter the costs by building. To add more than 3 buildings, press the + at the top right to expand for up to 10 buildings. If there are more than 10 buildings in the project, please contact the VHFA development department.</t>
  </si>
  <si>
    <t>sources-uses:</t>
  </si>
  <si>
    <t>The allocation of sources to uses on the right side of the Excel is important in the basis calculation, so please do not leave this section blank.  Rows 89-95 are related to the allowed developer fee for the project. Please ensure you have selected the correct items by consulting the Vermont Qualified Allocation Plan.</t>
  </si>
  <si>
    <t>credit calcs:</t>
  </si>
  <si>
    <t xml:space="preserve">
Make sure depreciable items are captured at the bottom of the sheet in the appropriate depreciation schedule.  </t>
  </si>
  <si>
    <t>rents:</t>
  </si>
  <si>
    <t>Column AK tallies the housing credit unit square footage. Please use accurate numbers that match the project plans, as this will be reviewed by VHFA's Building Design Analyst. Tenant-paid utilities are included here only as a reference to show the total tenant payment (they are not part of the project's income).</t>
  </si>
  <si>
    <t>cashflows:</t>
  </si>
  <si>
    <t xml:space="preserve">Please enter a replacement reserve usage over time based on a capital needs assessment (or your best estimate for new construction), as this will be reviewed by VHFA's Building Design Analyst.  Ensure that you enter the Repayment of Deferred Development Fee if the project has one. </t>
  </si>
  <si>
    <t xml:space="preserve">The beginning balance of cumulative cashflow (cell c26) includes Other Operating Reserves and Sinking Fund (Working Capital and Deficit Escrow assumed to be used up during rent up period).  Any financed accounts that are not used up are assumed to remain with the project. </t>
  </si>
  <si>
    <t>flow of funds</t>
  </si>
  <si>
    <t>To add additional months to the project timeline, you can press the + at the top right of the Excel. Please ensure that the flow of funds accurately reflects the equity pay-ins as described in the limited partnership agreement.</t>
  </si>
  <si>
    <t>Project Name:</t>
  </si>
  <si>
    <t>enter project name</t>
  </si>
  <si>
    <t>rev 2/2026</t>
  </si>
  <si>
    <t>Date Revised:</t>
  </si>
  <si>
    <t>enter date</t>
  </si>
  <si>
    <t>Total Buildings:</t>
  </si>
  <si>
    <t>If other, enter rate:</t>
  </si>
  <si>
    <t>Total Residential Units:</t>
  </si>
  <si>
    <t>Annual Increase in Income from Rental Units:</t>
  </si>
  <si>
    <t>Housing Credit Restricted Units:</t>
  </si>
  <si>
    <t>Annual Increase in Income from Other Sources:</t>
  </si>
  <si>
    <t>Percent Restricted:</t>
  </si>
  <si>
    <t>Annual Increase in Income from Commercial:</t>
  </si>
  <si>
    <t>Housing with Services Units:</t>
  </si>
  <si>
    <t>Total Development Cost:</t>
  </si>
  <si>
    <t>Annual Expense increase:</t>
  </si>
  <si>
    <t>Residential Development Cost per Unit:</t>
  </si>
  <si>
    <t>Vacancy Rate:</t>
  </si>
  <si>
    <t>Housing Credit Investment per Unit</t>
  </si>
  <si>
    <t>Partner's Tax Rate:</t>
  </si>
  <si>
    <t>Housing Credit Investment per HC Unit</t>
  </si>
  <si>
    <t>Long Depreciation Schedule:</t>
  </si>
  <si>
    <t>years</t>
  </si>
  <si>
    <t>Total Development Cost Per SF:</t>
  </si>
  <si>
    <t>Mid Depreciation Schedule:</t>
  </si>
  <si>
    <t>Credit Election:</t>
  </si>
  <si>
    <t>Average Income Test</t>
  </si>
  <si>
    <t>Short Depreciation Schedule:</t>
  </si>
  <si>
    <t>Max Credit Potential:</t>
  </si>
  <si>
    <t>Sponsor's Estimated Yield:</t>
  </si>
  <si>
    <t>Credit Amount Requested/Awarded:</t>
  </si>
  <si>
    <t>Application Estimated Cap Rate (default):</t>
  </si>
  <si>
    <t>Actual Project Cap Rate:</t>
  </si>
  <si>
    <t>LIHTC - 9%</t>
  </si>
  <si>
    <t>PERMANENT SOURCES</t>
  </si>
  <si>
    <t xml:space="preserve">Please do not delete rows in the "Sources" section. You may use the "Additional Fields" rows in 22-25 (amortizing debt), 35-44 (non-amortizing debt), and 51-55 (other sources).
</t>
  </si>
  <si>
    <t>% of Total Development Cost</t>
  </si>
  <si>
    <t>Amortization (Years)</t>
  </si>
  <si>
    <t>Term (Years)</t>
  </si>
  <si>
    <t>Committed?</t>
  </si>
  <si>
    <t>Commitment Date/Expected Date</t>
  </si>
  <si>
    <t>VHFA Tax Exempt Permanent Debt</t>
  </si>
  <si>
    <t>VHFA Taxable Permanent Debt</t>
  </si>
  <si>
    <t>VHFA Housing Investments for Vermont (HIVE)</t>
  </si>
  <si>
    <t>VHFA LIAC Permanent Debt</t>
  </si>
  <si>
    <t>Non-VHFA Other Permanent Debt</t>
  </si>
  <si>
    <r>
      <t xml:space="preserve">[Additional Field - Specify] </t>
    </r>
    <r>
      <rPr>
        <i/>
        <sz val="12"/>
        <color rgb="FF0070C0"/>
        <rFont val="Arial"/>
        <family val="2"/>
      </rPr>
      <t>(Amortizing)</t>
    </r>
  </si>
  <si>
    <t>AHP</t>
  </si>
  <si>
    <t>HOME</t>
  </si>
  <si>
    <t>NHTF</t>
  </si>
  <si>
    <t>deferred</t>
  </si>
  <si>
    <t>VCDP</t>
  </si>
  <si>
    <t>VHCB</t>
  </si>
  <si>
    <t>VHCB Feasibility</t>
  </si>
  <si>
    <t>Energy Incentives</t>
  </si>
  <si>
    <t>Deferred Developer Fee</t>
  </si>
  <si>
    <r>
      <t xml:space="preserve">[Additional Field - Specify] </t>
    </r>
    <r>
      <rPr>
        <i/>
        <sz val="12"/>
        <color rgb="FF0070C0"/>
        <rFont val="Arial"/>
        <family val="2"/>
      </rPr>
      <t>(Non-Amortizing)</t>
    </r>
  </si>
  <si>
    <t>General Partner Equity</t>
  </si>
  <si>
    <t>Existing Cash Accounts</t>
  </si>
  <si>
    <t>Investment Tax Credit</t>
  </si>
  <si>
    <t>Historic Tax Credit Equity</t>
  </si>
  <si>
    <t>VHFA - Federal Tax Credit Equity</t>
  </si>
  <si>
    <t>VHFA - VT State Tax Credit Equity</t>
  </si>
  <si>
    <t>[Additional Field - Specify]</t>
  </si>
  <si>
    <t>TOTAL SOURCES</t>
  </si>
  <si>
    <t>USES</t>
  </si>
  <si>
    <t>Acquisition</t>
  </si>
  <si>
    <t>Year 1 Exp Coverage Ratio:</t>
  </si>
  <si>
    <t>Construction Hard Costs</t>
  </si>
  <si>
    <t>Year 1 DCR:</t>
  </si>
  <si>
    <t>First Year Negative DCR:</t>
  </si>
  <si>
    <t>TOTAL USES</t>
  </si>
  <si>
    <t>Gap</t>
  </si>
  <si>
    <t>CONSTRUCTION SOURCES</t>
  </si>
  <si>
    <t>VHFA Tax Exempt Construction Debt</t>
  </si>
  <si>
    <t>months</t>
  </si>
  <si>
    <t>VHFA Taxable Construction Debt</t>
  </si>
  <si>
    <t>Non-VHFA Other Construction Debt</t>
  </si>
  <si>
    <t>N/A</t>
  </si>
  <si>
    <t>VHFA Equity Bridge Loan</t>
  </si>
  <si>
    <t>General Partner's Capital Contribution</t>
  </si>
  <si>
    <t>Limited Partner's Capital Contribution</t>
  </si>
  <si>
    <t>Total Equity</t>
  </si>
  <si>
    <t>APPLICABLE FRACTION CALCULATION</t>
  </si>
  <si>
    <t>Housing Credit Restricted Units</t>
  </si>
  <si>
    <t>Total Residential Units</t>
  </si>
  <si>
    <t>Unit Fraction</t>
  </si>
  <si>
    <t>Housing Credit Square Footage</t>
  </si>
  <si>
    <t>Square Footage Fraction</t>
  </si>
  <si>
    <t>Applicable Fraction</t>
  </si>
  <si>
    <t>Press '+' for additional buildings</t>
  </si>
  <si>
    <t>Press '+' for additional fields. Please do not add rows.</t>
  </si>
  <si>
    <t>Project</t>
  </si>
  <si>
    <t>Building 1</t>
  </si>
  <si>
    <t>Building 2</t>
  </si>
  <si>
    <t>Building 3</t>
  </si>
  <si>
    <t>Building 4</t>
  </si>
  <si>
    <t>Building 5</t>
  </si>
  <si>
    <t>Building 6</t>
  </si>
  <si>
    <t>Building 7</t>
  </si>
  <si>
    <t>Building 8</t>
  </si>
  <si>
    <t>Building 9</t>
  </si>
  <si>
    <t>Building 10</t>
  </si>
  <si>
    <t>Total Budget</t>
  </si>
  <si>
    <t>ACQUISITION</t>
  </si>
  <si>
    <t>Land</t>
  </si>
  <si>
    <t>Purchase of Building</t>
  </si>
  <si>
    <t>Demolition (without replacement)</t>
  </si>
  <si>
    <t>Appraisal</t>
  </si>
  <si>
    <t>Legal - Title and Recording</t>
  </si>
  <si>
    <t>Subtotal - Acquisition</t>
  </si>
  <si>
    <t>CONSTRUCTION HARD COSTS</t>
  </si>
  <si>
    <t>Construction - Residential</t>
  </si>
  <si>
    <t>Construction - Commercial</t>
  </si>
  <si>
    <t>Site Work</t>
  </si>
  <si>
    <t>Demolition - Construction</t>
  </si>
  <si>
    <t>Commercial Fit Up</t>
  </si>
  <si>
    <t>Contractor Overhead</t>
  </si>
  <si>
    <t>Contractor Profit</t>
  </si>
  <si>
    <t>Contractor General Requirements</t>
  </si>
  <si>
    <t>Construction Contingency</t>
  </si>
  <si>
    <t>Construction Bond Fee</t>
  </si>
  <si>
    <t>Hazardous Materials Abatement</t>
  </si>
  <si>
    <t>Off-Site Improvements</t>
  </si>
  <si>
    <t>Furnishings, Fixtures, &amp; Equipment</t>
  </si>
  <si>
    <t>Subtotal - Hard Costs</t>
  </si>
  <si>
    <t>Subtotal - Acquisition and Hard Costs</t>
  </si>
  <si>
    <t>SOFT COSTS</t>
  </si>
  <si>
    <t>Architectural</t>
  </si>
  <si>
    <t>Engineering</t>
  </si>
  <si>
    <t xml:space="preserve">A&amp;E Combined Contract </t>
  </si>
  <si>
    <t>Legal/Accounting</t>
  </si>
  <si>
    <t>Relocation</t>
  </si>
  <si>
    <t>Construction Inspections</t>
  </si>
  <si>
    <t>Environmental Assessment</t>
  </si>
  <si>
    <t>Energy Assessment</t>
  </si>
  <si>
    <t>Permits/Fees</t>
  </si>
  <si>
    <t>Market Study</t>
  </si>
  <si>
    <t>Cost Certification</t>
  </si>
  <si>
    <t>Capital Needs Assessment</t>
  </si>
  <si>
    <t>Construction Period Insurance</t>
  </si>
  <si>
    <t>Construction Loan Interest</t>
  </si>
  <si>
    <t>Construction Loan Origination Fee</t>
  </si>
  <si>
    <t>Taxes During Construction</t>
  </si>
  <si>
    <t>Clerk of the Works</t>
  </si>
  <si>
    <t>Marketing</t>
  </si>
  <si>
    <t>Tax Credit Fees</t>
  </si>
  <si>
    <t>Permanent Loan Origination Fee</t>
  </si>
  <si>
    <t>Lender's Counsel's Fee</t>
  </si>
  <si>
    <t>Subtotal - Soft Costs</t>
  </si>
  <si>
    <t>SYNDICATION COSTS</t>
  </si>
  <si>
    <t>Organizational (Partnership)</t>
  </si>
  <si>
    <t>Bridge Loan Fees and Expenses</t>
  </si>
  <si>
    <t>Syndication Consultant</t>
  </si>
  <si>
    <t>Tax Opinion</t>
  </si>
  <si>
    <t>Subtotal - Syndication Costs</t>
  </si>
  <si>
    <t>DEVELOPER'S FEES</t>
  </si>
  <si>
    <t>Developer's Fees</t>
  </si>
  <si>
    <t>Other Partnership Fees</t>
  </si>
  <si>
    <t>Consultant Fees</t>
  </si>
  <si>
    <t>Subtotal - Developer's Fees</t>
  </si>
  <si>
    <t>RESERVES</t>
  </si>
  <si>
    <t>Working Capital</t>
  </si>
  <si>
    <t>Rent-up (Deficit Escrow) Reserve</t>
  </si>
  <si>
    <t>Operating Reserves</t>
  </si>
  <si>
    <t>Subtotal - Reserves</t>
  </si>
  <si>
    <t>TOTAL DEVELOPMENT COSTS</t>
  </si>
  <si>
    <t>Allocation - by Sq Ft</t>
  </si>
  <si>
    <t>Allocation of Sources</t>
  </si>
  <si>
    <t>Press '+' for additional sources</t>
  </si>
  <si>
    <t>Residential</t>
  </si>
  <si>
    <t>Commercial</t>
  </si>
  <si>
    <t>Per Unit</t>
  </si>
  <si>
    <t>Per s.f.</t>
  </si>
  <si>
    <t>COST BASIS FOR DEVEL FEE</t>
  </si>
  <si>
    <t>DEVELOPER FEE</t>
  </si>
  <si>
    <t>Reserves</t>
  </si>
  <si>
    <t>Capitalized</t>
  </si>
  <si>
    <t>Months</t>
  </si>
  <si>
    <t>Rent-Up Reserve</t>
  </si>
  <si>
    <t>Operating Reserve</t>
  </si>
  <si>
    <t>Replacement Reserve (PU &amp; PUPM)</t>
  </si>
  <si>
    <t>Project Basis</t>
  </si>
  <si>
    <t>Acquisition Basis</t>
  </si>
  <si>
    <t>Construction Basis</t>
  </si>
  <si>
    <t>Residential Depreciation</t>
  </si>
  <si>
    <t>Historic Credit Basis</t>
  </si>
  <si>
    <t>Solar ITC</t>
  </si>
  <si>
    <t>Other ITC</t>
  </si>
  <si>
    <t>[Additional Field: Describe]</t>
  </si>
  <si>
    <t>Aggregate Basis
(4% LIHTC)</t>
  </si>
  <si>
    <t>TOTALS</t>
  </si>
  <si>
    <t>LESS:</t>
  </si>
  <si>
    <t>Amount of Non-Qualified Financing</t>
  </si>
  <si>
    <t>Historic Tax Credit (Residential Portion)</t>
  </si>
  <si>
    <t>Credit Rate</t>
  </si>
  <si>
    <t>Total Eligible Basis</t>
  </si>
  <si>
    <t>Annual Credit</t>
  </si>
  <si>
    <t>TIMES:</t>
  </si>
  <si>
    <t>Adjusted for QCT or DDA</t>
  </si>
  <si>
    <t>Total Qualified Basis</t>
  </si>
  <si>
    <t>Long-Term Depreciable Basis</t>
  </si>
  <si>
    <t>Depreciation Schedule</t>
  </si>
  <si>
    <t>Applicable Percentage</t>
  </si>
  <si>
    <t>Annual Depreciation</t>
  </si>
  <si>
    <t>Total Annual Credit Qualified</t>
  </si>
  <si>
    <t>Short-Term Depreciable Basis</t>
  </si>
  <si>
    <t>Total Tax Credits Requested</t>
  </si>
  <si>
    <r>
      <t xml:space="preserve">Estimated Net Syndication Proceeds </t>
    </r>
    <r>
      <rPr>
        <i/>
        <sz val="9"/>
        <rFont val="Arial"/>
        <family val="2"/>
      </rPr>
      <t>(Sec. 42 HC only)</t>
    </r>
  </si>
  <si>
    <t xml:space="preserve">Estimated Yield - Housing Credit Syndication </t>
  </si>
  <si>
    <t>Mid-Term Depreciable Basis</t>
  </si>
  <si>
    <t>Equity Gap</t>
  </si>
  <si>
    <t>Credits Needed to Fill Equity Gap</t>
  </si>
  <si>
    <t>Building Key</t>
  </si>
  <si>
    <t xml:space="preserve">  HC Restricted Units</t>
  </si>
  <si>
    <t>Type</t>
  </si>
  <si>
    <t>Average</t>
  </si>
  <si>
    <t>Tenant-Paid</t>
  </si>
  <si>
    <t>Total</t>
  </si>
  <si>
    <t>Name</t>
  </si>
  <si>
    <t xml:space="preserve"> Units</t>
  </si>
  <si>
    <t>Sq. Ft.</t>
  </si>
  <si>
    <t>Bedrooms</t>
  </si>
  <si>
    <t>GO or Age-Specific</t>
  </si>
  <si>
    <t>Square Feet</t>
  </si>
  <si>
    <t>Number</t>
  </si>
  <si>
    <t>Rent</t>
  </si>
  <si>
    <t>Annual Rent</t>
  </si>
  <si>
    <t>4+</t>
  </si>
  <si>
    <t>Totals</t>
  </si>
  <si>
    <t xml:space="preserve">  Non-HC Restricted Units</t>
  </si>
  <si>
    <t>Manager's Unit</t>
  </si>
  <si>
    <t>Grand Total</t>
  </si>
  <si>
    <t>Less Vacancy</t>
  </si>
  <si>
    <t>NET RENT</t>
  </si>
  <si>
    <t>OTHER INCOME</t>
  </si>
  <si>
    <t>Laundry</t>
  </si>
  <si>
    <t>Interest</t>
  </si>
  <si>
    <t>Commercial Space Income</t>
  </si>
  <si>
    <t>Less Vacancy Commercial</t>
  </si>
  <si>
    <t>TOTAL INCOME</t>
  </si>
  <si>
    <t>Check all Applicable (Please use 1 = yes and 0 = no)</t>
  </si>
  <si>
    <t>A</t>
  </si>
  <si>
    <t>B</t>
  </si>
  <si>
    <t>C</t>
  </si>
  <si>
    <t xml:space="preserve">Building Name </t>
  </si>
  <si>
    <t>Unit #</t>
  </si>
  <si>
    <t>HTF Unit</t>
  </si>
  <si>
    <t>HOME Unit</t>
  </si>
  <si>
    <t>Lead Paint Unit</t>
  </si>
  <si>
    <t>Project Based Assistance</t>
  </si>
  <si>
    <t>Tax Credit Unit</t>
  </si>
  <si>
    <t>VHCB Restricted</t>
  </si>
  <si>
    <t>ADA Mobility</t>
  </si>
  <si>
    <t>ADA A/V</t>
  </si>
  <si>
    <t>Adaptable</t>
  </si>
  <si>
    <t>General Occupancy</t>
  </si>
  <si>
    <t>Age-Restricted</t>
  </si>
  <si>
    <t>Unrestricted</t>
  </si>
  <si>
    <t>Number of Bedrooms</t>
  </si>
  <si>
    <t>Proposed Square Footage</t>
  </si>
  <si>
    <t>Proposed Rent</t>
  </si>
  <si>
    <t>Utility Allowance for Tenant-Paid Utilities</t>
  </si>
  <si>
    <t>Gross Rent (Rent + Tenant-Paid Utilities)</t>
  </si>
  <si>
    <t>Income Restrictions:
(Restricted Area Median Income level of residents in Housing Subsidy Covenants)</t>
  </si>
  <si>
    <t>Actual affordability based on gross rent compared to 100% AMI rent</t>
  </si>
  <si>
    <t>Housing Credit Square Footages</t>
  </si>
  <si>
    <t>AIT</t>
  </si>
  <si>
    <t>&gt;100%</t>
  </si>
  <si>
    <t>30%</t>
  </si>
  <si>
    <t>50%</t>
  </si>
  <si>
    <t>60%</t>
  </si>
  <si>
    <t>65%</t>
  </si>
  <si>
    <t xml:space="preserve">70% </t>
  </si>
  <si>
    <t>80%</t>
  </si>
  <si>
    <t>100%+</t>
  </si>
  <si>
    <t>Mgr. Unit</t>
  </si>
  <si>
    <t>Total #
Units</t>
  </si>
  <si>
    <t>Net Residential Unit Sq. Footage</t>
  </si>
  <si>
    <t>Total # Units:</t>
  </si>
  <si>
    <t>Gross Residential Sq. Footage less Net Residential Unit Sq. Footage</t>
  </si>
  <si>
    <t>Subtotal – Total Gross Residential Sq. Footage</t>
  </si>
  <si>
    <t>Gross Commercial Space Sq. Footage, if any</t>
  </si>
  <si>
    <t>Subtotal – Total Gross Conditioned Building Sq. Footage</t>
  </si>
  <si>
    <t>Unconditioned Gross Basement, Crawl Space, and Storage Sq. Footage</t>
  </si>
  <si>
    <t>Gross Covered Parking Sq. Footage</t>
  </si>
  <si>
    <t>Total Gross Building Square Footage</t>
  </si>
  <si>
    <t>Annual</t>
  </si>
  <si>
    <t>Monthly</t>
  </si>
  <si>
    <t>Per Month</t>
  </si>
  <si>
    <t>Per Year</t>
  </si>
  <si>
    <t>ADMINISTRATIVE</t>
  </si>
  <si>
    <t>Audit Expense</t>
  </si>
  <si>
    <t>Bookkeeping Fees/Acctg Services</t>
  </si>
  <si>
    <t>Conventions &amp; Meetings</t>
  </si>
  <si>
    <t>Legal Expense</t>
  </si>
  <si>
    <t>Management &amp; Consultants</t>
  </si>
  <si>
    <t>Management Fee</t>
  </si>
  <si>
    <t>Manager or Superintendent Salaries</t>
  </si>
  <si>
    <t>Misc. Admin Expense (incl TRACS, LIHTC Fees, Training, Telephone, etc)</t>
  </si>
  <si>
    <t>Office Expenses</t>
  </si>
  <si>
    <t>Office Salaries</t>
  </si>
  <si>
    <t>Tax Credit Monitoring Fee</t>
  </si>
  <si>
    <t>TOTAL ADMINISTRATIVE</t>
  </si>
  <si>
    <t>SUPPORTIVE SERVICE</t>
  </si>
  <si>
    <t>Supportive Services</t>
  </si>
  <si>
    <t>TOTAL SUPPORTIVE SERVICE</t>
  </si>
  <si>
    <t>UTILITIES</t>
  </si>
  <si>
    <t>Electricity</t>
  </si>
  <si>
    <t>Fuel</t>
  </si>
  <si>
    <t>Sewer</t>
  </si>
  <si>
    <t>Water</t>
  </si>
  <si>
    <t>Water &amp; Sewer Combined (if applicable)</t>
  </si>
  <si>
    <t>TOTAL UTILITIES</t>
  </si>
  <si>
    <t>MAINTENANCE</t>
  </si>
  <si>
    <t>Contracts (Grounds, Exterminating, Repairs, Elevator)</t>
  </si>
  <si>
    <t>HVAC Repairs / Maintenance</t>
  </si>
  <si>
    <t>Misc Operating &amp; Maintenance Expense (incl Fire Alarm)</t>
  </si>
  <si>
    <t>Payroll (Maintenance, Grounds, Repair)</t>
  </si>
  <si>
    <t>Snow Removal</t>
  </si>
  <si>
    <t>Supplies (Janitor, Repairs, Paint)</t>
  </si>
  <si>
    <t>Trash Removal</t>
  </si>
  <si>
    <t>Vehicle &amp; Maintenance Equip. Operation &amp; Repair</t>
  </si>
  <si>
    <t>TOTAL MAINTENANCE</t>
  </si>
  <si>
    <t>TAXES &amp; INSURANCE</t>
  </si>
  <si>
    <t>Health Insurance &amp; Other Benefits</t>
  </si>
  <si>
    <t>Misc. Taxes, Permits, Licenses, Insurance</t>
  </si>
  <si>
    <t>Payroll Taxes</t>
  </si>
  <si>
    <t>Property Insurance</t>
  </si>
  <si>
    <t>Real Estate Taxes</t>
  </si>
  <si>
    <t>Workman's Compensation</t>
  </si>
  <si>
    <t>TOTAL TAXES &amp; INSURANCE</t>
  </si>
  <si>
    <t>FINANCIAL</t>
  </si>
  <si>
    <t>Primary Debt Service</t>
  </si>
  <si>
    <t>Other "must pay" debt service</t>
  </si>
  <si>
    <t>Misc. Financial Expenses</t>
  </si>
  <si>
    <t>TOTAL FINANCIAL</t>
  </si>
  <si>
    <t xml:space="preserve"> Replacement Reserves</t>
  </si>
  <si>
    <t>per unit month</t>
  </si>
  <si>
    <t>excl. debt svc &amp; res.</t>
  </si>
  <si>
    <t xml:space="preserve">PRO FORMA    </t>
  </si>
  <si>
    <t>Year</t>
  </si>
  <si>
    <t>Operating Income</t>
  </si>
  <si>
    <t>Gross Rent</t>
  </si>
  <si>
    <t>Vacancy and Other Losses</t>
  </si>
  <si>
    <t>Total Operating Income</t>
  </si>
  <si>
    <t>Total Expenses (excl. Reserves)</t>
  </si>
  <si>
    <t>Total Operating Expense</t>
  </si>
  <si>
    <t>Net Operating Income</t>
  </si>
  <si>
    <t>Less Primary Debt Service</t>
  </si>
  <si>
    <t>Less Secondary Debt Service</t>
  </si>
  <si>
    <t>Annual Cash Flow</t>
  </si>
  <si>
    <t>Operating Subsidies / Sinking Fund</t>
  </si>
  <si>
    <t>Net Cash</t>
  </si>
  <si>
    <t>Debt Coverage Ratio</t>
  </si>
  <si>
    <t>Cash flow as a percentage of expenses</t>
  </si>
  <si>
    <t>Expense coverage ratio</t>
  </si>
  <si>
    <t>Cumulative Cash Flow</t>
  </si>
  <si>
    <t>Beginning Balance</t>
  </si>
  <si>
    <t>Deposits</t>
  </si>
  <si>
    <t>Withdrawals:</t>
  </si>
  <si>
    <t>Project Operating Needs</t>
  </si>
  <si>
    <t>Special LP or GP Fee</t>
  </si>
  <si>
    <t>Repayment of Deferred Devel. Fee</t>
  </si>
  <si>
    <t>Partnership Audit or K-1 Fee</t>
  </si>
  <si>
    <t>Distribution of Cash to Owner</t>
  </si>
  <si>
    <t>Ending Balance</t>
  </si>
  <si>
    <t>Cumulative Replacement Reserves</t>
  </si>
  <si>
    <t>Withdrawals</t>
  </si>
  <si>
    <t xml:space="preserve">  Plus Reserves</t>
  </si>
  <si>
    <t>Less GP Fee</t>
  </si>
  <si>
    <t xml:space="preserve">  Less Interest Expense</t>
  </si>
  <si>
    <t xml:space="preserve">  Less Long Depreciation</t>
  </si>
  <si>
    <t xml:space="preserve">  Less Mid Depreciation</t>
  </si>
  <si>
    <t xml:space="preserve">  Less Short Depreciation</t>
  </si>
  <si>
    <t>Taxable Income (Loss)</t>
  </si>
  <si>
    <t>Cash Flow</t>
  </si>
  <si>
    <t xml:space="preserve">  Plus Tax Savings</t>
  </si>
  <si>
    <t>Plus Historic Rehab Credits</t>
  </si>
  <si>
    <t>Plus ITC Credits</t>
  </si>
  <si>
    <t>Plus State Credits</t>
  </si>
  <si>
    <t xml:space="preserve">  Plus Federal Housing Credits</t>
  </si>
  <si>
    <t>After Tax Cash Flow</t>
  </si>
  <si>
    <t>For VHFA use:</t>
  </si>
  <si>
    <t>Total Years</t>
  </si>
  <si>
    <t>Reinvestment Rate</t>
  </si>
  <si>
    <t>Current After Tax Cash Flows</t>
  </si>
  <si>
    <t>Future Value of Cash Flows at Yr 15:</t>
  </si>
  <si>
    <t>Discount Rate:</t>
  </si>
  <si>
    <t>Capital Contribution Number:</t>
  </si>
  <si>
    <t>Date of Capital Contribution:</t>
  </si>
  <si>
    <t>Amount of Capital Contribution:</t>
  </si>
  <si>
    <t>Present Value of Contributions:</t>
  </si>
  <si>
    <t>Cash Flows</t>
  </si>
  <si>
    <t>IRR:</t>
  </si>
  <si>
    <t>Equity Yield:</t>
  </si>
  <si>
    <t>PRINCIPAL</t>
  </si>
  <si>
    <t>INTEREST</t>
  </si>
  <si>
    <t>AMORTIZATION PERIOD</t>
  </si>
  <si>
    <t>TERM</t>
  </si>
  <si>
    <t>MONTHLY PAYMENT</t>
  </si>
  <si>
    <t>ANNUAL PAYMENT</t>
  </si>
  <si>
    <t>YEAR</t>
  </si>
  <si>
    <t>BEGINNING BALANCE</t>
  </si>
  <si>
    <t>ENDING BALANCE</t>
  </si>
  <si>
    <t>TOTAL PAID</t>
  </si>
  <si>
    <t>Total Interest</t>
  </si>
  <si>
    <t>DEBT/EQUITY RATIO</t>
  </si>
  <si>
    <t>PROJ. VALUE</t>
  </si>
  <si>
    <t>OUTSTANDING DEBT</t>
  </si>
  <si>
    <t>Construction Flow of Funds</t>
  </si>
  <si>
    <t>Press '+' for additional months; adjust timeline and labels as needed</t>
  </si>
  <si>
    <t>Construction Closing</t>
  </si>
  <si>
    <t>Permanent Closing</t>
  </si>
  <si>
    <t>Final Capital Contribution</t>
  </si>
  <si>
    <t>Uses:</t>
  </si>
  <si>
    <t xml:space="preserve"> Repay Construction Loan</t>
  </si>
  <si>
    <t>Sources:</t>
  </si>
  <si>
    <t>TOTALS:</t>
  </si>
  <si>
    <t>Required Cumulative Construction Draw</t>
  </si>
  <si>
    <t>CONSTRUCTION LOAN SOURCES</t>
  </si>
  <si>
    <t>Starting Balance</t>
  </si>
  <si>
    <t>Monthly Loan Draw</t>
  </si>
  <si>
    <t>Cumulative Loan Drawn To Date</t>
  </si>
  <si>
    <t>Monthly Loan Repayment</t>
  </si>
  <si>
    <t>Cumulative Total Running Loan Balance</t>
  </si>
  <si>
    <t>Interest Calculation</t>
  </si>
  <si>
    <t>25% Test</t>
  </si>
  <si>
    <t>Basis:</t>
  </si>
  <si>
    <t>Total Cumulative Construction Loan Draws</t>
  </si>
  <si>
    <t>CHECK</t>
  </si>
  <si>
    <t>Housing with Services: Budget and Inventory</t>
  </si>
  <si>
    <t>For more information about Housing with Services, please see VHFA's Qualified Allocation Plan and Common Application on the VHFA website.</t>
  </si>
  <si>
    <t>Project Information</t>
  </si>
  <si>
    <t>Total Units in Project:</t>
  </si>
  <si>
    <t>Housing with Services Units in Project:</t>
  </si>
  <si>
    <t>Included Services:</t>
  </si>
  <si>
    <t>(check all that apply)</t>
  </si>
  <si>
    <t>% of residents receiving service</t>
  </si>
  <si>
    <t>Hours/week</t>
  </si>
  <si>
    <t>Provider</t>
  </si>
  <si>
    <t>Funding Source</t>
  </si>
  <si>
    <t>Cost</t>
  </si>
  <si>
    <t>Case Management</t>
  </si>
  <si>
    <t>Housekeeping</t>
  </si>
  <si>
    <t>Meals</t>
  </si>
  <si>
    <t>Nursing/Wellness Nurse</t>
  </si>
  <si>
    <t>Personal Care</t>
  </si>
  <si>
    <t>SASH</t>
  </si>
  <si>
    <t>Service Coordination</t>
  </si>
  <si>
    <t>Transportation</t>
  </si>
  <si>
    <t>Total:</t>
  </si>
  <si>
    <t>Income:</t>
  </si>
  <si>
    <t>Project Operating Budget</t>
  </si>
  <si>
    <t>SASH Program (Medicare &amp; State Funds)</t>
  </si>
  <si>
    <t>Owner Contribution</t>
  </si>
  <si>
    <t>Third Party Provider</t>
  </si>
  <si>
    <t>Grant</t>
  </si>
  <si>
    <t>Sinking Fund</t>
  </si>
  <si>
    <t>Other (Specify)</t>
  </si>
  <si>
    <t>Narrative:</t>
  </si>
  <si>
    <t>Complete Supportive Services section of Common Application</t>
  </si>
  <si>
    <t>Sponsor Information</t>
  </si>
  <si>
    <t>Sponsor #1</t>
  </si>
  <si>
    <t>Sponsor Name:</t>
  </si>
  <si>
    <t>Units of permanent affordable housing in portfolio:</t>
  </si>
  <si>
    <t>Units currently occupied by households who were experiencing homelessness at the time of application for the unit:</t>
  </si>
  <si>
    <t>Calculated percentage of units serving formerly homeless households</t>
  </si>
  <si>
    <t>Housing with Services units in portfolio:</t>
  </si>
  <si>
    <t>Sponsor #2</t>
  </si>
  <si>
    <t>Please also submit checklist item C5.2, an inventory of both all formerly homeless households and all Housing with Services units across the portfolios of all project Sponsors.</t>
  </si>
  <si>
    <t>Appraised Value As Complete</t>
  </si>
  <si>
    <t>Board Meeting Date:</t>
  </si>
  <si>
    <t>Sponsor:</t>
  </si>
  <si>
    <t>Total Units:</t>
  </si>
  <si>
    <t>Housing Credit Units:</t>
  </si>
  <si>
    <t>Project Address:</t>
  </si>
  <si>
    <t>Unit Sizes:</t>
  </si>
  <si>
    <t>Size</t>
  </si>
  <si>
    <t>Avg Sq Ft</t>
  </si>
  <si>
    <t>Housing Type:</t>
  </si>
  <si>
    <t>Eff</t>
  </si>
  <si>
    <t>1 Bd</t>
  </si>
  <si>
    <t>Per Sq Ft:</t>
  </si>
  <si>
    <t>2 Bd</t>
  </si>
  <si>
    <t>Per Unit:</t>
  </si>
  <si>
    <t>3+ Bd</t>
  </si>
  <si>
    <t>Total Acquisition &amp; Hard Construction Cost:</t>
  </si>
  <si>
    <t>Total Gross Conditioned Building Sq Ft:</t>
  </si>
  <si>
    <t>Residential Sq Ft:</t>
  </si>
  <si>
    <t>Housing Credit Sq Ft:</t>
  </si>
  <si>
    <t>Executive Order 3-73 % 
(Sponsor 1):</t>
  </si>
  <si>
    <r>
      <t>Housing with</t>
    </r>
    <r>
      <rPr>
        <sz val="12"/>
        <rFont val="Calibri"/>
        <family val="2"/>
        <scheme val="minor"/>
      </rPr>
      <t xml:space="preserve"> </t>
    </r>
    <r>
      <rPr>
        <b/>
        <sz val="12"/>
        <rFont val="Calibri"/>
        <family val="2"/>
        <scheme val="minor"/>
      </rPr>
      <t>Services Units</t>
    </r>
    <r>
      <rPr>
        <sz val="12"/>
        <rFont val="Calibri"/>
        <family val="2"/>
        <scheme val="minor"/>
      </rPr>
      <t xml:space="preserve"> </t>
    </r>
    <r>
      <rPr>
        <i/>
        <sz val="12"/>
        <rFont val="Calibri"/>
        <family val="2"/>
        <scheme val="minor"/>
      </rPr>
      <t>(on-site):</t>
    </r>
  </si>
  <si>
    <t>Executive Order 3-73 % 
(Sponsor 2):</t>
  </si>
  <si>
    <r>
      <t xml:space="preserve">Housing with Services Units </t>
    </r>
    <r>
      <rPr>
        <i/>
        <sz val="12"/>
        <color rgb="FF000000"/>
        <rFont val="Calibri"/>
        <family val="2"/>
        <scheme val="minor"/>
      </rPr>
      <t>(off-site):</t>
    </r>
  </si>
  <si>
    <t>Total Tax Credits Requested:</t>
  </si>
  <si>
    <t>Applicable Fraction:</t>
  </si>
  <si>
    <t>Per Unit TC Requested:</t>
  </si>
  <si>
    <t>Minimum Set Aside Election:</t>
  </si>
  <si>
    <t>Basis Boost:</t>
  </si>
  <si>
    <t>Basis Boost Type:</t>
  </si>
  <si>
    <t>State Affordable Housing Tax Credits Requested:</t>
  </si>
  <si>
    <t>Equity:</t>
  </si>
  <si>
    <t>Trending:</t>
  </si>
  <si>
    <t>Term:</t>
  </si>
  <si>
    <t>Loan-to-Value:</t>
  </si>
  <si>
    <t>Amortization:</t>
  </si>
  <si>
    <t>Expense Coverage Ratio:</t>
  </si>
  <si>
    <t>10 yr avg Debt 
Coverage Ratio (DCR):</t>
  </si>
  <si>
    <t>VHFA Construction Debt:</t>
  </si>
  <si>
    <t>Rate:</t>
  </si>
  <si>
    <t>VHFA Equity Bridge Loan:</t>
  </si>
  <si>
    <t>Vermont Housing 
Investment Fund:</t>
  </si>
  <si>
    <r>
      <t>Funding:</t>
    </r>
    <r>
      <rPr>
        <sz val="12"/>
        <color theme="1" tint="0.249977111117893"/>
        <rFont val="Calibri"/>
        <family val="2"/>
        <scheme val="minor"/>
      </rPr>
      <t xml:space="preserve"> (% of TDC)</t>
    </r>
  </si>
  <si>
    <t>20/50</t>
  </si>
  <si>
    <t>Yes</t>
  </si>
  <si>
    <t>No</t>
  </si>
  <si>
    <t>VHFASummarySheet</t>
  </si>
  <si>
    <t>Permanent Debt</t>
  </si>
  <si>
    <t>None</t>
  </si>
  <si>
    <t>Construction Debt</t>
  </si>
  <si>
    <t>Equity Bridge Loan</t>
  </si>
  <si>
    <t>Non-VHFA Other Equity Bridge Loan</t>
  </si>
  <si>
    <t>Inc 1%, Exp 2.5%, Vac 5%</t>
  </si>
  <si>
    <t>Inc 1.5%, Exp 3%, Vac 5%</t>
  </si>
  <si>
    <t>Special Trending</t>
  </si>
  <si>
    <t>Age Specific</t>
  </si>
  <si>
    <t>LIHTC - 4%</t>
  </si>
  <si>
    <t>LIHTC - None</t>
  </si>
  <si>
    <t>Include in basis?</t>
  </si>
  <si>
    <t>Adjusted for 15% HC Units for Housing with Services</t>
  </si>
  <si>
    <t>Not adjusted</t>
  </si>
  <si>
    <t>40/60</t>
  </si>
  <si>
    <t>Other</t>
  </si>
  <si>
    <t>Devel Fee</t>
  </si>
  <si>
    <t>Percentage</t>
  </si>
  <si>
    <t>Maximum</t>
  </si>
  <si>
    <t># Units</t>
  </si>
  <si>
    <t>New Construction Bond or Hybrid</t>
  </si>
  <si>
    <t>New Construction Ceiling Credit</t>
  </si>
  <si>
    <t>Fee Deferred</t>
  </si>
  <si>
    <t>Unrelated Acq Rehab Bond</t>
  </si>
  <si>
    <t>Unrelated Acq Rehab Ceiling</t>
  </si>
  <si>
    <t>Related Acquisition &amp; Rehab</t>
  </si>
  <si>
    <t>Related Rehab</t>
  </si>
  <si>
    <t>*Cannot be repaid after Year 10 (See QAP)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</si>
</sst>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dd\-mmm\-yy_)"/>
    <numFmt numFmtId="165" formatCode="0.0%"/>
    <numFmt numFmtId="166" formatCode="dd\-mmm\-yy"/>
    <numFmt numFmtId="167" formatCode="[$-409]mmmm\ d\,\ yyyy;@"/>
    <numFmt numFmtId="168" formatCode="_(&quot;$&quot;* #,##0_);_(&quot;$&quot;* \(#,##0\);_(&quot;$&quot;* &quot;-&quot;??_);_(@_)"/>
    <numFmt numFmtId="169" formatCode="_(* #,##0_);_(* \(#,##0\);_(* &quot;-&quot;??_);_(@_)"/>
    <numFmt numFmtId="170" formatCode="m/d/yy;@"/>
    <numFmt numFmtId="171" formatCode="0.0_)"/>
    <numFmt numFmtId="172" formatCode="&quot;$&quot;#,##0"/>
    <numFmt numFmtId="173" formatCode="&quot;$&quot;#,##0.00"/>
    <numFmt numFmtId="174" formatCode="dd\-mmm"/>
  </numFmts>
  <fonts count="81">
    <font>
      <sz val="12"/>
      <name val="Courier"/>
    </font>
    <font>
      <sz val="11"/>
      <color theme="1"/>
      <name val="Calibri"/>
      <family val="2"/>
      <scheme val="minor"/>
    </font>
    <font>
      <sz val="8"/>
      <name val="Times New Roman"/>
      <family val="1"/>
    </font>
    <font>
      <sz val="12"/>
      <name val="Courier"/>
      <family val="3"/>
    </font>
    <font>
      <sz val="8"/>
      <color indexed="81"/>
      <name val="Tahoma"/>
      <family val="2"/>
    </font>
    <font>
      <sz val="12"/>
      <name val="Courier"/>
    </font>
    <font>
      <sz val="9"/>
      <color indexed="81"/>
      <name val="Tahoma"/>
      <family val="2"/>
    </font>
    <font>
      <sz val="10"/>
      <color indexed="81"/>
      <name val="Tahoma"/>
      <family val="2"/>
    </font>
    <font>
      <sz val="12"/>
      <name val="Arial"/>
      <family val="2"/>
    </font>
    <font>
      <b/>
      <sz val="12"/>
      <name val="Arial"/>
      <family val="2"/>
    </font>
    <font>
      <i/>
      <sz val="12"/>
      <name val="Arial"/>
      <family val="2"/>
    </font>
    <font>
      <sz val="11"/>
      <name val="Arial"/>
      <family val="2"/>
    </font>
    <font>
      <sz val="11"/>
      <color theme="0"/>
      <name val="Arial"/>
      <family val="2"/>
    </font>
    <font>
      <b/>
      <sz val="11"/>
      <name val="Arial"/>
      <family val="2"/>
    </font>
    <font>
      <i/>
      <sz val="11"/>
      <name val="Arial"/>
      <family val="2"/>
    </font>
    <font>
      <sz val="12"/>
      <color indexed="8"/>
      <name val="Arial"/>
      <family val="2"/>
    </font>
    <font>
      <i/>
      <sz val="10"/>
      <name val="Arial"/>
      <family val="2"/>
    </font>
    <font>
      <i/>
      <sz val="12"/>
      <color indexed="8"/>
      <name val="Arial"/>
      <family val="2"/>
    </font>
    <font>
      <b/>
      <sz val="12"/>
      <color indexed="8"/>
      <name val="Arial"/>
      <family val="2"/>
    </font>
    <font>
      <b/>
      <sz val="11"/>
      <color indexed="8"/>
      <name val="Arial"/>
      <family val="2"/>
    </font>
    <font>
      <sz val="11"/>
      <color indexed="8"/>
      <name val="Arial"/>
      <family val="2"/>
    </font>
    <font>
      <i/>
      <sz val="11"/>
      <color indexed="8"/>
      <name val="Arial"/>
      <family val="2"/>
    </font>
    <font>
      <sz val="11"/>
      <color theme="0" tint="-0.499984740745262"/>
      <name val="Arial"/>
      <family val="2"/>
    </font>
    <font>
      <b/>
      <sz val="11"/>
      <color theme="3"/>
      <name val="Arial"/>
      <family val="2"/>
    </font>
    <font>
      <sz val="10"/>
      <color indexed="8"/>
      <name val="Arial"/>
      <family val="2"/>
    </font>
    <font>
      <sz val="12"/>
      <name val="Calibri"/>
      <family val="2"/>
    </font>
    <font>
      <sz val="12"/>
      <name val="Calibri"/>
      <family val="2"/>
      <scheme val="minor"/>
    </font>
    <font>
      <u/>
      <sz val="12"/>
      <name val="Calibri"/>
      <family val="2"/>
      <scheme val="minor"/>
    </font>
    <font>
      <b/>
      <sz val="9"/>
      <color indexed="81"/>
      <name val="Tahoma"/>
      <family val="2"/>
    </font>
    <font>
      <i/>
      <sz val="10"/>
      <color indexed="8"/>
      <name val="Arial"/>
      <family val="2"/>
    </font>
    <font>
      <b/>
      <i/>
      <sz val="11"/>
      <color indexed="8"/>
      <name val="Arial"/>
      <family val="2"/>
    </font>
    <font>
      <sz val="10"/>
      <name val="Arial"/>
      <family val="2"/>
    </font>
    <font>
      <b/>
      <sz val="10"/>
      <name val="Arial"/>
      <family val="2"/>
    </font>
    <font>
      <i/>
      <sz val="9"/>
      <name val="Arial"/>
      <family val="2"/>
    </font>
    <font>
      <i/>
      <sz val="11"/>
      <color rgb="FF0070C0"/>
      <name val="Arial"/>
      <family val="2"/>
    </font>
    <font>
      <sz val="12"/>
      <color rgb="FFFF0000"/>
      <name val="Arial"/>
      <family val="2"/>
    </font>
    <font>
      <sz val="11"/>
      <color theme="0"/>
      <name val="Calibri"/>
      <family val="2"/>
      <scheme val="minor"/>
    </font>
    <font>
      <sz val="11"/>
      <name val="Calibri"/>
      <family val="2"/>
      <scheme val="minor"/>
    </font>
    <font>
      <b/>
      <sz val="12"/>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sz val="12"/>
      <color theme="1" tint="0.249977111117893"/>
      <name val="Calibri"/>
      <family val="2"/>
      <scheme val="minor"/>
    </font>
    <font>
      <sz val="12"/>
      <color indexed="8"/>
      <name val="Calibri"/>
      <family val="2"/>
      <scheme val="minor"/>
    </font>
    <font>
      <b/>
      <i/>
      <sz val="10"/>
      <name val="Arial"/>
      <family val="2"/>
    </font>
    <font>
      <u/>
      <sz val="12"/>
      <name val="Calibri"/>
      <family val="2"/>
    </font>
    <font>
      <sz val="10"/>
      <color rgb="FFFF0000"/>
      <name val="Arial"/>
      <family val="2"/>
    </font>
    <font>
      <i/>
      <sz val="12"/>
      <color rgb="FF0070C0"/>
      <name val="Arial"/>
      <family val="2"/>
    </font>
    <font>
      <b/>
      <sz val="11"/>
      <color theme="1"/>
      <name val="Calibri"/>
      <family val="2"/>
      <scheme val="minor"/>
    </font>
    <font>
      <sz val="11"/>
      <color theme="1"/>
      <name val="Arial"/>
      <family val="2"/>
    </font>
    <font>
      <b/>
      <sz val="11"/>
      <color rgb="FF000000"/>
      <name val="Avenir Book"/>
      <family val="2"/>
    </font>
    <font>
      <b/>
      <sz val="11"/>
      <color rgb="FF000000"/>
      <name val="Avenir Next Regular"/>
    </font>
    <font>
      <b/>
      <sz val="11"/>
      <color rgb="FFFA7D00"/>
      <name val="Avenir Book"/>
      <family val="2"/>
    </font>
    <font>
      <sz val="11"/>
      <name val="Avenir Next Regular"/>
    </font>
    <font>
      <b/>
      <i/>
      <sz val="11"/>
      <color theme="1"/>
      <name val="Avenir Book"/>
      <family val="2"/>
    </font>
    <font>
      <sz val="11"/>
      <color rgb="FF000000"/>
      <name val="Avenir Next Regular"/>
    </font>
    <font>
      <b/>
      <sz val="11"/>
      <name val="Avenir Next Regular"/>
    </font>
    <font>
      <sz val="10"/>
      <color theme="1"/>
      <name val="Arial"/>
      <family val="2"/>
    </font>
    <font>
      <sz val="12"/>
      <name val="Roboto"/>
    </font>
    <font>
      <b/>
      <sz val="12"/>
      <color rgb="FFFA7D00"/>
      <name val="Calibri"/>
      <family val="2"/>
      <scheme val="minor"/>
    </font>
    <font>
      <sz val="11"/>
      <color theme="1" tint="0.14996795556505021"/>
      <name val="Calibri"/>
      <family val="2"/>
      <scheme val="minor"/>
    </font>
    <font>
      <b/>
      <sz val="10"/>
      <color theme="1" tint="0.14996795556505021"/>
      <name val="Calibri"/>
      <family val="2"/>
      <scheme val="minor"/>
    </font>
    <font>
      <sz val="14"/>
      <color theme="1" tint="0.14996795556505021"/>
      <name val="Calibri"/>
      <family val="2"/>
      <scheme val="minor"/>
    </font>
    <font>
      <b/>
      <sz val="14"/>
      <color theme="1" tint="0.14996795556505021"/>
      <name val="Calibri"/>
      <family val="2"/>
      <scheme val="minor"/>
    </font>
    <font>
      <sz val="12"/>
      <color theme="1" tint="0.14996795556505021"/>
      <name val="Calibri"/>
      <family val="2"/>
      <scheme val="minor"/>
    </font>
    <font>
      <sz val="14"/>
      <color theme="1" tint="4.9989318521683403E-2"/>
      <name val="Calibri"/>
      <family val="2"/>
      <scheme val="minor"/>
    </font>
    <font>
      <i/>
      <sz val="14"/>
      <color theme="1" tint="0.14996795556505021"/>
      <name val="Calibri"/>
      <family val="2"/>
      <scheme val="minor"/>
    </font>
    <font>
      <b/>
      <sz val="11"/>
      <color theme="1" tint="0.14996795556505021"/>
      <name val="Calibri"/>
      <family val="2"/>
      <scheme val="minor"/>
    </font>
    <font>
      <i/>
      <sz val="12"/>
      <color theme="1" tint="0.14996795556505021"/>
      <name val="Calibri"/>
      <family val="2"/>
      <scheme val="minor"/>
    </font>
    <font>
      <b/>
      <sz val="12"/>
      <color theme="1" tint="0.14996795556505021"/>
      <name val="Calibri"/>
      <family val="2"/>
      <scheme val="minor"/>
    </font>
    <font>
      <sz val="11"/>
      <color rgb="FF000000"/>
      <name val="Calibri"/>
      <family val="2"/>
      <scheme val="minor"/>
    </font>
    <font>
      <sz val="9"/>
      <color theme="1" tint="0.14996795556505021"/>
      <name val="Calibri"/>
      <family val="2"/>
      <scheme val="minor"/>
    </font>
    <font>
      <u/>
      <sz val="11"/>
      <color theme="10"/>
      <name val="Calibri"/>
      <family val="2"/>
      <scheme val="minor"/>
    </font>
    <font>
      <u/>
      <sz val="11"/>
      <color theme="1" tint="0.14996795556505021"/>
      <name val="Calibri"/>
      <family val="2"/>
      <scheme val="minor"/>
    </font>
    <font>
      <sz val="18.55"/>
      <color theme="1" tint="0.14996795556505021"/>
      <name val="Calibri"/>
      <family val="2"/>
      <scheme val="minor"/>
    </font>
    <font>
      <sz val="10"/>
      <color theme="1"/>
      <name val="Arial Narrow"/>
      <family val="2"/>
    </font>
    <font>
      <b/>
      <sz val="11"/>
      <color rgb="FF000000"/>
      <name val="Avenir Next LT Pro"/>
      <family val="2"/>
    </font>
    <font>
      <sz val="11"/>
      <color rgb="FF000000"/>
      <name val="Avenir Next LT Pro"/>
      <family val="2"/>
    </font>
    <font>
      <b/>
      <sz val="11"/>
      <color rgb="FF0C0C0C"/>
      <name val="Avenir"/>
      <family val="2"/>
    </font>
    <font>
      <sz val="11"/>
      <color rgb="FF0C0C0C"/>
      <name val="Avenir"/>
      <family val="2"/>
    </font>
    <font>
      <sz val="9"/>
      <color rgb="FF000000"/>
      <name val="Tahoma"/>
      <family val="2"/>
    </font>
  </fonts>
  <fills count="19">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2F2F2"/>
      </patternFill>
    </fill>
    <fill>
      <patternFill patternType="solid">
        <fgColor rgb="FFFFFF00"/>
        <bgColor indexed="64"/>
      </patternFill>
    </fill>
    <fill>
      <patternFill patternType="solid">
        <fgColor theme="2" tint="-0.249977111117893"/>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theme="0"/>
      </patternFill>
    </fill>
    <fill>
      <patternFill patternType="solid">
        <fgColor rgb="FFDBE5F1"/>
        <bgColor rgb="FFDBE5F1"/>
      </patternFill>
    </fill>
    <fill>
      <patternFill patternType="solid">
        <fgColor rgb="FFFFFF00"/>
        <bgColor rgb="FFFFFF00"/>
      </patternFill>
    </fill>
  </fills>
  <borders count="69">
    <border>
      <left/>
      <right/>
      <top/>
      <bottom/>
      <diagonal/>
    </border>
    <border>
      <left/>
      <right/>
      <top style="thin">
        <color indexed="64"/>
      </top>
      <bottom/>
      <diagonal/>
    </border>
    <border>
      <left/>
      <right/>
      <top style="double">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style="double">
        <color indexed="64"/>
      </top>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double">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BFBFBF"/>
      </bottom>
      <diagonal/>
    </border>
    <border>
      <left style="thin">
        <color rgb="FF000000"/>
      </left>
      <right/>
      <top style="medium">
        <color rgb="FF000000"/>
      </top>
      <bottom style="thin">
        <color rgb="FFBFBFBF"/>
      </bottom>
      <diagonal/>
    </border>
    <border>
      <left/>
      <right style="thin">
        <color rgb="FF000000"/>
      </right>
      <top style="medium">
        <color rgb="FF000000"/>
      </top>
      <bottom style="thin">
        <color rgb="FFBFBFBF"/>
      </bottom>
      <diagonal/>
    </border>
    <border>
      <left style="thin">
        <color rgb="FF000000"/>
      </left>
      <right style="thin">
        <color rgb="FF000000"/>
      </right>
      <top style="medium">
        <color rgb="FF000000"/>
      </top>
      <bottom style="thin">
        <color rgb="FFBFBFBF"/>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theme="0" tint="-0.249977111117893"/>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s>
  <cellStyleXfs count="19">
    <xf numFmtId="37" fontId="0" fillId="0" borderId="0"/>
    <xf numFmtId="9" fontId="2" fillId="0" borderId="0" applyFont="0" applyFill="0" applyBorder="0" applyAlignment="0" applyProtection="0"/>
    <xf numFmtId="37" fontId="3" fillId="0" borderId="0"/>
    <xf numFmtId="44" fontId="5" fillId="0" borderId="0" applyFont="0" applyFill="0" applyBorder="0" applyAlignment="0" applyProtection="0"/>
    <xf numFmtId="43" fontId="5" fillId="0" borderId="0" applyFont="0" applyFill="0" applyBorder="0" applyAlignment="0" applyProtection="0"/>
    <xf numFmtId="0" fontId="49" fillId="0" borderId="0"/>
    <xf numFmtId="0" fontId="8" fillId="0" borderId="0"/>
    <xf numFmtId="0" fontId="8" fillId="0" borderId="0"/>
    <xf numFmtId="0" fontId="31" fillId="0" borderId="0"/>
    <xf numFmtId="0" fontId="1" fillId="0" borderId="0"/>
    <xf numFmtId="9" fontId="1" fillId="0" borderId="0" applyFont="0" applyFill="0" applyBorder="0" applyAlignment="0" applyProtection="0"/>
    <xf numFmtId="0" fontId="59" fillId="11" borderId="52" applyNumberFormat="0" applyAlignment="0" applyProtection="0"/>
    <xf numFmtId="0" fontId="1" fillId="0" borderId="0"/>
    <xf numFmtId="4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1" fillId="0" borderId="0"/>
    <xf numFmtId="0" fontId="72" fillId="0" borderId="0" applyNumberFormat="0" applyFill="0" applyBorder="0" applyAlignment="0" applyProtection="0"/>
    <xf numFmtId="0" fontId="75" fillId="0" borderId="0"/>
  </cellStyleXfs>
  <cellXfs count="800">
    <xf numFmtId="37" fontId="0" fillId="0" borderId="0" xfId="0"/>
    <xf numFmtId="37" fontId="11" fillId="0" borderId="0" xfId="0" applyFont="1"/>
    <xf numFmtId="37" fontId="20" fillId="0" borderId="0" xfId="0" applyFont="1" applyAlignment="1">
      <alignment horizontal="left"/>
    </xf>
    <xf numFmtId="37" fontId="20" fillId="0" borderId="0" xfId="0" applyFont="1"/>
    <xf numFmtId="37" fontId="11" fillId="0" borderId="0" xfId="0" applyFont="1" applyProtection="1">
      <protection locked="0"/>
    </xf>
    <xf numFmtId="37" fontId="20" fillId="0" borderId="0" xfId="0" applyFont="1" applyAlignment="1" applyProtection="1">
      <alignment horizontal="left"/>
      <protection locked="0"/>
    </xf>
    <xf numFmtId="168" fontId="11" fillId="0" borderId="0" xfId="3" applyNumberFormat="1" applyFont="1" applyProtection="1">
      <protection locked="0"/>
    </xf>
    <xf numFmtId="37" fontId="20" fillId="0" borderId="0" xfId="0" quotePrefix="1" applyFont="1" applyAlignment="1" applyProtection="1">
      <alignment horizontal="left"/>
      <protection locked="0"/>
    </xf>
    <xf numFmtId="168" fontId="20" fillId="0" borderId="0" xfId="3" applyNumberFormat="1" applyFont="1" applyProtection="1">
      <protection locked="0"/>
    </xf>
    <xf numFmtId="37" fontId="20" fillId="0" borderId="0" xfId="0" applyFont="1" applyProtection="1">
      <protection locked="0"/>
    </xf>
    <xf numFmtId="37" fontId="11" fillId="0" borderId="16" xfId="0" applyFont="1" applyBorder="1" applyProtection="1">
      <protection locked="0"/>
    </xf>
    <xf numFmtId="37" fontId="11" fillId="0" borderId="0" xfId="0" applyFont="1" applyAlignment="1" applyProtection="1">
      <alignment horizontal="center" wrapText="1"/>
      <protection locked="0"/>
    </xf>
    <xf numFmtId="37" fontId="11" fillId="0" borderId="0" xfId="0" applyFont="1" applyAlignment="1" applyProtection="1">
      <alignment wrapText="1"/>
      <protection locked="0"/>
    </xf>
    <xf numFmtId="37" fontId="21" fillId="0" borderId="0" xfId="0" applyFont="1" applyAlignment="1" applyProtection="1">
      <alignment horizontal="right"/>
      <protection locked="0"/>
    </xf>
    <xf numFmtId="168" fontId="20" fillId="0" borderId="1" xfId="3" applyNumberFormat="1" applyFont="1" applyBorder="1" applyProtection="1">
      <protection locked="0"/>
    </xf>
    <xf numFmtId="37" fontId="13" fillId="0" borderId="0" xfId="0" applyFont="1" applyProtection="1">
      <protection locked="0"/>
    </xf>
    <xf numFmtId="37" fontId="11" fillId="0" borderId="0" xfId="0" applyFont="1" applyAlignment="1" applyProtection="1">
      <alignment horizontal="right"/>
      <protection locked="0"/>
    </xf>
    <xf numFmtId="37" fontId="20" fillId="0" borderId="0" xfId="0" applyFont="1" applyAlignment="1" applyProtection="1">
      <alignment horizontal="right"/>
      <protection locked="0"/>
    </xf>
    <xf numFmtId="14" fontId="20" fillId="0" borderId="16" xfId="0" applyNumberFormat="1" applyFont="1" applyBorder="1" applyProtection="1">
      <protection locked="0"/>
    </xf>
    <xf numFmtId="37" fontId="20" fillId="0" borderId="1" xfId="0" applyFont="1" applyBorder="1" applyProtection="1">
      <protection locked="0"/>
    </xf>
    <xf numFmtId="168" fontId="20" fillId="0" borderId="2" xfId="3" applyNumberFormat="1" applyFont="1" applyBorder="1" applyProtection="1"/>
    <xf numFmtId="168" fontId="20" fillId="0" borderId="21" xfId="3" applyNumberFormat="1" applyFont="1" applyBorder="1" applyProtection="1"/>
    <xf numFmtId="1" fontId="11" fillId="0" borderId="0" xfId="0" applyNumberFormat="1" applyFont="1" applyProtection="1">
      <protection locked="0"/>
    </xf>
    <xf numFmtId="10" fontId="11" fillId="0" borderId="0" xfId="1" applyNumberFormat="1" applyFont="1" applyProtection="1">
      <protection locked="0"/>
    </xf>
    <xf numFmtId="165" fontId="11" fillId="0" borderId="0" xfId="0" applyNumberFormat="1" applyFont="1" applyProtection="1">
      <protection locked="0"/>
    </xf>
    <xf numFmtId="1" fontId="20" fillId="0" borderId="1" xfId="0" applyNumberFormat="1" applyFont="1" applyBorder="1" applyProtection="1">
      <protection locked="0"/>
    </xf>
    <xf numFmtId="37" fontId="11" fillId="0" borderId="3" xfId="0" applyFont="1" applyBorder="1" applyProtection="1">
      <protection locked="0"/>
    </xf>
    <xf numFmtId="37" fontId="20" fillId="0" borderId="16" xfId="0" applyFont="1" applyBorder="1" applyProtection="1">
      <protection locked="0"/>
    </xf>
    <xf numFmtId="168" fontId="20" fillId="0" borderId="2" xfId="3" applyNumberFormat="1" applyFont="1" applyBorder="1" applyProtection="1">
      <protection locked="0"/>
    </xf>
    <xf numFmtId="10" fontId="11" fillId="0" borderId="0" xfId="1" applyNumberFormat="1" applyFont="1" applyFill="1" applyProtection="1">
      <protection locked="0"/>
    </xf>
    <xf numFmtId="37" fontId="20" fillId="0" borderId="2" xfId="0" applyFont="1" applyBorder="1" applyProtection="1">
      <protection locked="0"/>
    </xf>
    <xf numFmtId="37" fontId="11" fillId="0" borderId="0" xfId="0" applyFont="1" applyAlignment="1" applyProtection="1">
      <alignment horizontal="center"/>
      <protection locked="0"/>
    </xf>
    <xf numFmtId="37" fontId="11" fillId="0" borderId="19" xfId="0" applyFont="1" applyBorder="1" applyProtection="1">
      <protection locked="0"/>
    </xf>
    <xf numFmtId="37" fontId="11" fillId="0" borderId="7" xfId="0" applyFont="1" applyBorder="1" applyProtection="1">
      <protection locked="0"/>
    </xf>
    <xf numFmtId="10" fontId="11" fillId="0" borderId="0" xfId="1" applyNumberFormat="1" applyFont="1" applyFill="1" applyProtection="1"/>
    <xf numFmtId="37" fontId="11" fillId="0" borderId="17" xfId="0" applyFont="1" applyBorder="1" applyProtection="1">
      <protection locked="0"/>
    </xf>
    <xf numFmtId="37" fontId="26" fillId="0" borderId="0" xfId="0" applyFont="1"/>
    <xf numFmtId="10" fontId="8" fillId="3" borderId="0" xfId="1" applyNumberFormat="1" applyFont="1" applyFill="1" applyBorder="1" applyProtection="1"/>
    <xf numFmtId="168" fontId="11" fillId="3" borderId="0" xfId="3" applyNumberFormat="1" applyFont="1" applyFill="1" applyProtection="1"/>
    <xf numFmtId="169" fontId="13" fillId="3" borderId="11" xfId="4" applyNumberFormat="1" applyFont="1" applyFill="1" applyBorder="1" applyProtection="1"/>
    <xf numFmtId="10" fontId="20" fillId="3" borderId="0" xfId="1" applyNumberFormat="1" applyFont="1" applyFill="1" applyAlignment="1" applyProtection="1">
      <alignment horizontal="right"/>
    </xf>
    <xf numFmtId="37" fontId="26" fillId="0" borderId="0" xfId="0" applyFont="1" applyAlignment="1">
      <alignment wrapText="1"/>
    </xf>
    <xf numFmtId="37" fontId="22" fillId="0" borderId="0" xfId="0" applyFont="1" applyProtection="1">
      <protection locked="0"/>
    </xf>
    <xf numFmtId="14" fontId="17" fillId="4" borderId="0" xfId="0" applyNumberFormat="1" applyFont="1" applyFill="1" applyAlignment="1" applyProtection="1">
      <alignment horizontal="center"/>
      <protection locked="0"/>
    </xf>
    <xf numFmtId="1" fontId="8" fillId="4" borderId="0" xfId="0" applyNumberFormat="1" applyFont="1" applyFill="1" applyProtection="1">
      <protection locked="0"/>
    </xf>
    <xf numFmtId="37" fontId="8" fillId="4" borderId="0" xfId="0" applyFont="1" applyFill="1" applyProtection="1">
      <protection locked="0"/>
    </xf>
    <xf numFmtId="37" fontId="15" fillId="4" borderId="0" xfId="0" applyFont="1" applyFill="1" applyAlignment="1" applyProtection="1">
      <alignment horizontal="left"/>
      <protection locked="0"/>
    </xf>
    <xf numFmtId="10" fontId="8" fillId="4" borderId="0" xfId="0" applyNumberFormat="1" applyFont="1" applyFill="1" applyProtection="1">
      <protection locked="0"/>
    </xf>
    <xf numFmtId="37" fontId="8" fillId="4" borderId="0" xfId="0" applyFont="1" applyFill="1" applyAlignment="1" applyProtection="1">
      <alignment horizontal="right"/>
      <protection locked="0"/>
    </xf>
    <xf numFmtId="14" fontId="8" fillId="4" borderId="0" xfId="0" applyNumberFormat="1" applyFont="1" applyFill="1" applyAlignment="1" applyProtection="1">
      <alignment horizontal="right"/>
      <protection locked="0"/>
    </xf>
    <xf numFmtId="37" fontId="15" fillId="4" borderId="0" xfId="0" applyFont="1" applyFill="1" applyAlignment="1" applyProtection="1">
      <alignment horizontal="right"/>
      <protection locked="0"/>
    </xf>
    <xf numFmtId="10" fontId="8" fillId="4" borderId="0" xfId="0" applyNumberFormat="1" applyFont="1" applyFill="1" applyAlignment="1" applyProtection="1">
      <alignment horizontal="right"/>
      <protection locked="0"/>
    </xf>
    <xf numFmtId="168" fontId="8" fillId="4" borderId="0" xfId="3" applyNumberFormat="1" applyFont="1" applyFill="1" applyProtection="1">
      <protection locked="0"/>
    </xf>
    <xf numFmtId="44" fontId="8" fillId="4" borderId="0" xfId="3" applyFont="1" applyFill="1" applyProtection="1">
      <protection locked="0"/>
    </xf>
    <xf numFmtId="10" fontId="8" fillId="4" borderId="0" xfId="1" applyNumberFormat="1" applyFont="1" applyFill="1" applyProtection="1">
      <protection locked="0"/>
    </xf>
    <xf numFmtId="168" fontId="11" fillId="4" borderId="0" xfId="3" applyNumberFormat="1" applyFont="1" applyFill="1" applyProtection="1">
      <protection locked="0"/>
    </xf>
    <xf numFmtId="168" fontId="25" fillId="4" borderId="0" xfId="3" applyNumberFormat="1" applyFont="1" applyFill="1" applyBorder="1" applyAlignment="1" applyProtection="1">
      <protection locked="0"/>
    </xf>
    <xf numFmtId="168" fontId="11" fillId="4" borderId="3" xfId="3" applyNumberFormat="1" applyFont="1" applyFill="1" applyBorder="1" applyProtection="1">
      <protection locked="0"/>
    </xf>
    <xf numFmtId="49" fontId="20" fillId="4" borderId="0" xfId="0" applyNumberFormat="1" applyFont="1" applyFill="1" applyAlignment="1" applyProtection="1">
      <alignment horizontal="center"/>
      <protection locked="0"/>
    </xf>
    <xf numFmtId="49" fontId="11" fillId="4" borderId="0" xfId="0" applyNumberFormat="1" applyFont="1" applyFill="1" applyProtection="1">
      <protection locked="0"/>
    </xf>
    <xf numFmtId="168" fontId="20" fillId="4" borderId="0" xfId="3" applyNumberFormat="1" applyFont="1" applyFill="1" applyProtection="1">
      <protection locked="0"/>
    </xf>
    <xf numFmtId="0" fontId="11" fillId="4" borderId="11" xfId="0" applyNumberFormat="1" applyFont="1" applyFill="1" applyBorder="1" applyAlignment="1" applyProtection="1">
      <alignment horizontal="right"/>
      <protection locked="0"/>
    </xf>
    <xf numFmtId="1" fontId="11" fillId="4" borderId="11" xfId="0" applyNumberFormat="1" applyFont="1" applyFill="1" applyBorder="1" applyProtection="1">
      <protection locked="0"/>
    </xf>
    <xf numFmtId="1" fontId="11" fillId="4" borderId="11" xfId="4" applyNumberFormat="1" applyFont="1" applyFill="1" applyBorder="1" applyProtection="1">
      <protection locked="0"/>
    </xf>
    <xf numFmtId="1" fontId="11" fillId="4" borderId="14" xfId="0" applyNumberFormat="1" applyFont="1" applyFill="1" applyBorder="1" applyProtection="1">
      <protection locked="0"/>
    </xf>
    <xf numFmtId="3" fontId="11" fillId="4" borderId="13" xfId="0" applyNumberFormat="1" applyFont="1" applyFill="1" applyBorder="1" applyProtection="1">
      <protection locked="0"/>
    </xf>
    <xf numFmtId="37" fontId="11" fillId="4" borderId="11" xfId="0" applyFont="1" applyFill="1" applyBorder="1" applyProtection="1">
      <protection locked="0"/>
    </xf>
    <xf numFmtId="168" fontId="11" fillId="4" borderId="11" xfId="3" applyNumberFormat="1" applyFont="1" applyFill="1" applyBorder="1" applyProtection="1">
      <protection locked="0"/>
    </xf>
    <xf numFmtId="37" fontId="11" fillId="4" borderId="14" xfId="0" applyFont="1" applyFill="1" applyBorder="1" applyProtection="1">
      <protection locked="0"/>
    </xf>
    <xf numFmtId="49" fontId="11" fillId="4" borderId="11" xfId="0" applyNumberFormat="1" applyFont="1" applyFill="1" applyBorder="1" applyAlignment="1" applyProtection="1">
      <alignment horizontal="right"/>
      <protection locked="0"/>
    </xf>
    <xf numFmtId="49" fontId="11" fillId="4" borderId="11" xfId="0" applyNumberFormat="1" applyFont="1" applyFill="1" applyBorder="1" applyProtection="1">
      <protection locked="0"/>
    </xf>
    <xf numFmtId="37" fontId="11" fillId="4" borderId="0" xfId="0" applyFont="1" applyFill="1" applyProtection="1">
      <protection locked="0"/>
    </xf>
    <xf numFmtId="169" fontId="11" fillId="4" borderId="11" xfId="4" applyNumberFormat="1" applyFont="1" applyFill="1" applyBorder="1" applyProtection="1">
      <protection locked="0"/>
    </xf>
    <xf numFmtId="37" fontId="10" fillId="4" borderId="16" xfId="0" applyFont="1" applyFill="1" applyBorder="1" applyAlignment="1" applyProtection="1">
      <alignment horizontal="left"/>
      <protection locked="0"/>
    </xf>
    <xf numFmtId="168" fontId="11" fillId="4" borderId="18" xfId="3" applyNumberFormat="1" applyFont="1" applyFill="1" applyBorder="1" applyProtection="1">
      <protection locked="0"/>
    </xf>
    <xf numFmtId="168" fontId="11" fillId="4" borderId="27" xfId="3" applyNumberFormat="1" applyFont="1" applyFill="1" applyBorder="1" applyProtection="1">
      <protection locked="0"/>
    </xf>
    <xf numFmtId="44" fontId="11" fillId="4" borderId="0" xfId="3" applyFont="1" applyFill="1" applyProtection="1">
      <protection locked="0"/>
    </xf>
    <xf numFmtId="44" fontId="20" fillId="4" borderId="0" xfId="3" applyFont="1" applyFill="1" applyBorder="1" applyProtection="1">
      <protection locked="0"/>
    </xf>
    <xf numFmtId="37" fontId="11" fillId="0" borderId="5" xfId="0" applyFont="1" applyBorder="1" applyProtection="1">
      <protection locked="0"/>
    </xf>
    <xf numFmtId="37" fontId="11" fillId="0" borderId="7" xfId="0" applyFont="1" applyBorder="1" applyAlignment="1" applyProtection="1">
      <alignment wrapText="1"/>
      <protection locked="0"/>
    </xf>
    <xf numFmtId="37" fontId="11" fillId="4" borderId="3" xfId="0" applyFont="1" applyFill="1" applyBorder="1" applyProtection="1">
      <protection locked="0"/>
    </xf>
    <xf numFmtId="37" fontId="11" fillId="0" borderId="6" xfId="0" applyFont="1" applyBorder="1" applyProtection="1">
      <protection locked="0"/>
    </xf>
    <xf numFmtId="37" fontId="11" fillId="0" borderId="8" xfId="0" applyFont="1" applyBorder="1" applyProtection="1">
      <protection locked="0"/>
    </xf>
    <xf numFmtId="37" fontId="14" fillId="0" borderId="4" xfId="0" applyFont="1" applyBorder="1" applyAlignment="1" applyProtection="1">
      <alignment horizontal="left"/>
      <protection locked="0"/>
    </xf>
    <xf numFmtId="37" fontId="11" fillId="0" borderId="1" xfId="0" applyFont="1" applyBorder="1" applyAlignment="1" applyProtection="1">
      <alignment horizontal="center"/>
      <protection locked="0"/>
    </xf>
    <xf numFmtId="37" fontId="11" fillId="4" borderId="7" xfId="0" applyFont="1" applyFill="1" applyBorder="1" applyProtection="1">
      <protection locked="0"/>
    </xf>
    <xf numFmtId="37" fontId="11" fillId="4" borderId="8" xfId="0" applyFont="1" applyFill="1" applyBorder="1" applyProtection="1">
      <protection locked="0"/>
    </xf>
    <xf numFmtId="37" fontId="14" fillId="0" borderId="5" xfId="0" applyFont="1" applyBorder="1" applyProtection="1">
      <protection locked="0"/>
    </xf>
    <xf numFmtId="37" fontId="11" fillId="0" borderId="5" xfId="0" applyFont="1" applyBorder="1" applyAlignment="1" applyProtection="1">
      <alignment horizontal="right"/>
      <protection locked="0"/>
    </xf>
    <xf numFmtId="37" fontId="14" fillId="0" borderId="0" xfId="0" applyFont="1" applyAlignment="1" applyProtection="1">
      <alignment horizontal="left"/>
      <protection locked="0"/>
    </xf>
    <xf numFmtId="37" fontId="11" fillId="0" borderId="3" xfId="0" applyFont="1" applyBorder="1"/>
    <xf numFmtId="10" fontId="8" fillId="3" borderId="0" xfId="1" applyNumberFormat="1" applyFont="1" applyFill="1" applyBorder="1" applyAlignment="1" applyProtection="1">
      <alignment horizontal="right"/>
    </xf>
    <xf numFmtId="37" fontId="11" fillId="4" borderId="24" xfId="0" applyFont="1" applyFill="1" applyBorder="1" applyProtection="1">
      <protection locked="0"/>
    </xf>
    <xf numFmtId="37" fontId="11" fillId="4" borderId="13" xfId="0" applyFont="1" applyFill="1" applyBorder="1" applyProtection="1">
      <protection locked="0"/>
    </xf>
    <xf numFmtId="37" fontId="8" fillId="4" borderId="0" xfId="0" quotePrefix="1" applyFont="1" applyFill="1" applyAlignment="1" applyProtection="1">
      <alignment horizontal="right"/>
      <protection locked="0"/>
    </xf>
    <xf numFmtId="169" fontId="15" fillId="4" borderId="0" xfId="4" applyNumberFormat="1" applyFont="1" applyFill="1" applyAlignment="1" applyProtection="1">
      <alignment horizontal="right"/>
      <protection locked="0"/>
    </xf>
    <xf numFmtId="0" fontId="11" fillId="0" borderId="0" xfId="3" applyNumberFormat="1" applyFont="1" applyProtection="1"/>
    <xf numFmtId="168" fontId="11" fillId="0" borderId="0" xfId="3" applyNumberFormat="1" applyFont="1" applyProtection="1"/>
    <xf numFmtId="168" fontId="20" fillId="0" borderId="1" xfId="3" applyNumberFormat="1" applyFont="1" applyFill="1" applyBorder="1" applyProtection="1"/>
    <xf numFmtId="168" fontId="11" fillId="5" borderId="0" xfId="3" applyNumberFormat="1" applyFont="1" applyFill="1" applyProtection="1"/>
    <xf numFmtId="168" fontId="20" fillId="0" borderId="0" xfId="3" applyNumberFormat="1" applyFont="1" applyFill="1" applyProtection="1"/>
    <xf numFmtId="168" fontId="11" fillId="0" borderId="3" xfId="3" applyNumberFormat="1" applyFont="1" applyBorder="1" applyProtection="1"/>
    <xf numFmtId="9" fontId="21" fillId="0" borderId="0" xfId="1" applyFont="1" applyFill="1" applyBorder="1" applyAlignment="1" applyProtection="1">
      <alignment horizontal="center"/>
    </xf>
    <xf numFmtId="14" fontId="11" fillId="0" borderId="0" xfId="0" applyNumberFormat="1" applyFont="1"/>
    <xf numFmtId="37" fontId="19" fillId="0" borderId="16" xfId="0" applyFont="1" applyBorder="1"/>
    <xf numFmtId="168" fontId="11" fillId="0" borderId="0" xfId="3" applyNumberFormat="1" applyFont="1" applyFill="1" applyProtection="1"/>
    <xf numFmtId="168" fontId="21" fillId="0" borderId="0" xfId="3" applyNumberFormat="1" applyFont="1" applyFill="1" applyProtection="1"/>
    <xf numFmtId="168" fontId="11" fillId="0" borderId="0" xfId="3" applyNumberFormat="1" applyFont="1" applyFill="1" applyBorder="1" applyProtection="1"/>
    <xf numFmtId="168" fontId="20" fillId="0" borderId="28" xfId="3" applyNumberFormat="1" applyFont="1" applyFill="1" applyBorder="1" applyProtection="1"/>
    <xf numFmtId="168" fontId="11" fillId="0" borderId="28" xfId="3" applyNumberFormat="1" applyFont="1" applyFill="1" applyBorder="1" applyProtection="1"/>
    <xf numFmtId="168" fontId="20" fillId="0" borderId="2" xfId="3" applyNumberFormat="1" applyFont="1" applyFill="1" applyBorder="1" applyProtection="1"/>
    <xf numFmtId="37" fontId="11" fillId="0" borderId="0" xfId="0" applyFont="1" applyAlignment="1">
      <alignment horizontal="center" wrapText="1"/>
    </xf>
    <xf numFmtId="168" fontId="11" fillId="0" borderId="3" xfId="3" applyNumberFormat="1" applyFont="1" applyBorder="1" applyAlignment="1" applyProtection="1">
      <alignment horizontal="right" wrapText="1"/>
    </xf>
    <xf numFmtId="168" fontId="11" fillId="0" borderId="3" xfId="3" applyNumberFormat="1" applyFont="1" applyBorder="1" applyAlignment="1" applyProtection="1">
      <alignment wrapText="1"/>
    </xf>
    <xf numFmtId="168" fontId="11" fillId="0" borderId="2" xfId="3" applyNumberFormat="1" applyFont="1" applyFill="1" applyBorder="1" applyProtection="1"/>
    <xf numFmtId="9" fontId="8" fillId="0" borderId="1" xfId="1" applyFont="1" applyFill="1" applyBorder="1" applyAlignment="1" applyProtection="1">
      <alignment horizontal="right"/>
    </xf>
    <xf numFmtId="168" fontId="15" fillId="0" borderId="0" xfId="3" applyNumberFormat="1" applyFont="1" applyProtection="1"/>
    <xf numFmtId="168" fontId="8" fillId="0" borderId="1" xfId="3" applyNumberFormat="1" applyFont="1" applyBorder="1" applyProtection="1"/>
    <xf numFmtId="168" fontId="8" fillId="0" borderId="0" xfId="3" applyNumberFormat="1" applyFont="1" applyProtection="1"/>
    <xf numFmtId="10" fontId="8" fillId="0" borderId="0" xfId="1" applyNumberFormat="1" applyFont="1" applyFill="1" applyAlignment="1" applyProtection="1">
      <alignment horizontal="right"/>
    </xf>
    <xf numFmtId="168" fontId="11" fillId="1" borderId="0" xfId="3" applyNumberFormat="1" applyFont="1" applyFill="1" applyProtection="1"/>
    <xf numFmtId="168" fontId="20" fillId="0" borderId="1" xfId="3" applyNumberFormat="1" applyFont="1" applyBorder="1" applyProtection="1"/>
    <xf numFmtId="168" fontId="20" fillId="0" borderId="0" xfId="3" applyNumberFormat="1" applyFont="1" applyProtection="1"/>
    <xf numFmtId="168" fontId="14" fillId="0" borderId="0" xfId="3" applyNumberFormat="1" applyFont="1" applyProtection="1"/>
    <xf numFmtId="37" fontId="11" fillId="0" borderId="7" xfId="0" applyFont="1" applyBorder="1"/>
    <xf numFmtId="168" fontId="19" fillId="0" borderId="0" xfId="3" applyNumberFormat="1" applyFont="1" applyProtection="1"/>
    <xf numFmtId="1" fontId="19" fillId="0" borderId="0" xfId="0" applyNumberFormat="1" applyFont="1"/>
    <xf numFmtId="1" fontId="20" fillId="0" borderId="1" xfId="0" applyNumberFormat="1" applyFont="1" applyBorder="1"/>
    <xf numFmtId="169" fontId="11" fillId="0" borderId="11" xfId="4" applyNumberFormat="1" applyFont="1" applyFill="1" applyBorder="1" applyProtection="1"/>
    <xf numFmtId="169" fontId="13" fillId="0" borderId="0" xfId="4" applyNumberFormat="1" applyFont="1" applyProtection="1"/>
    <xf numFmtId="168" fontId="11" fillId="0" borderId="27" xfId="3" applyNumberFormat="1" applyFont="1" applyBorder="1" applyProtection="1"/>
    <xf numFmtId="168" fontId="11" fillId="0" borderId="16" xfId="3" applyNumberFormat="1" applyFont="1" applyBorder="1" applyProtection="1"/>
    <xf numFmtId="168" fontId="11" fillId="0" borderId="20" xfId="3" applyNumberFormat="1" applyFont="1" applyBorder="1" applyProtection="1"/>
    <xf numFmtId="37" fontId="20" fillId="0" borderId="0" xfId="0" applyFont="1" applyAlignment="1">
      <alignment horizontal="center" wrapText="1"/>
    </xf>
    <xf numFmtId="10" fontId="11" fillId="0" borderId="0" xfId="1" applyNumberFormat="1" applyFont="1" applyProtection="1"/>
    <xf numFmtId="44" fontId="20" fillId="0" borderId="0" xfId="3" applyFont="1" applyFill="1" applyBorder="1" applyProtection="1"/>
    <xf numFmtId="44" fontId="20" fillId="0" borderId="1" xfId="3" applyFont="1" applyBorder="1" applyProtection="1"/>
    <xf numFmtId="44" fontId="11" fillId="0" borderId="0" xfId="3" applyFont="1" applyAlignment="1" applyProtection="1">
      <alignment horizontal="right"/>
    </xf>
    <xf numFmtId="44" fontId="20" fillId="0" borderId="0" xfId="3" applyFont="1" applyAlignment="1" applyProtection="1">
      <alignment horizontal="right"/>
    </xf>
    <xf numFmtId="44" fontId="11" fillId="1" borderId="0" xfId="3" applyFont="1" applyFill="1" applyProtection="1"/>
    <xf numFmtId="44" fontId="11" fillId="0" borderId="0" xfId="3" applyFont="1" applyProtection="1"/>
    <xf numFmtId="168" fontId="11" fillId="0" borderId="1" xfId="3" applyNumberFormat="1" applyFont="1" applyFill="1" applyBorder="1" applyProtection="1"/>
    <xf numFmtId="168" fontId="11" fillId="0" borderId="0" xfId="3" applyNumberFormat="1" applyFont="1" applyBorder="1" applyProtection="1">
      <protection locked="0"/>
    </xf>
    <xf numFmtId="168" fontId="11" fillId="0" borderId="0" xfId="3" applyNumberFormat="1" applyFont="1" applyBorder="1" applyProtection="1"/>
    <xf numFmtId="168" fontId="14" fillId="0" borderId="1" xfId="3" applyNumberFormat="1" applyFont="1" applyFill="1" applyBorder="1" applyProtection="1"/>
    <xf numFmtId="37" fontId="13" fillId="0" borderId="0" xfId="0" applyFont="1" applyAlignment="1" applyProtection="1">
      <alignment horizontal="center" wrapText="1"/>
      <protection locked="0"/>
    </xf>
    <xf numFmtId="37" fontId="21" fillId="0" borderId="0" xfId="0" applyFont="1" applyAlignment="1" applyProtection="1">
      <alignment horizontal="left"/>
      <protection locked="0"/>
    </xf>
    <xf numFmtId="14" fontId="20" fillId="0" borderId="30" xfId="0" applyNumberFormat="1" applyFont="1" applyBorder="1" applyProtection="1">
      <protection locked="0"/>
    </xf>
    <xf numFmtId="9" fontId="30" fillId="0" borderId="19" xfId="1" applyFont="1" applyFill="1" applyBorder="1" applyAlignment="1" applyProtection="1">
      <alignment horizontal="center"/>
    </xf>
    <xf numFmtId="37" fontId="20" fillId="0" borderId="19" xfId="0" applyFont="1" applyBorder="1" applyAlignment="1" applyProtection="1">
      <alignment horizontal="center" wrapText="1"/>
      <protection locked="0"/>
    </xf>
    <xf numFmtId="168" fontId="20" fillId="0" borderId="18" xfId="3" applyNumberFormat="1" applyFont="1" applyFill="1" applyBorder="1" applyProtection="1"/>
    <xf numFmtId="168" fontId="20" fillId="0" borderId="30" xfId="3" applyNumberFormat="1" applyFont="1" applyFill="1" applyBorder="1" applyProtection="1"/>
    <xf numFmtId="168" fontId="20" fillId="0" borderId="31" xfId="3" applyNumberFormat="1" applyFont="1" applyFill="1" applyBorder="1" applyProtection="1"/>
    <xf numFmtId="168" fontId="11" fillId="8" borderId="19" xfId="3" applyNumberFormat="1" applyFont="1" applyFill="1" applyBorder="1" applyProtection="1"/>
    <xf numFmtId="168" fontId="20" fillId="0" borderId="19" xfId="3" applyNumberFormat="1" applyFont="1" applyFill="1" applyBorder="1" applyProtection="1"/>
    <xf numFmtId="168" fontId="14" fillId="0" borderId="18" xfId="3" applyNumberFormat="1" applyFont="1" applyFill="1" applyBorder="1" applyProtection="1"/>
    <xf numFmtId="168" fontId="21" fillId="0" borderId="11" xfId="3" applyNumberFormat="1" applyFont="1" applyFill="1" applyBorder="1" applyProtection="1"/>
    <xf numFmtId="168" fontId="11" fillId="8" borderId="0" xfId="3" applyNumberFormat="1" applyFont="1" applyFill="1" applyProtection="1"/>
    <xf numFmtId="168" fontId="21" fillId="0" borderId="25" xfId="3" applyNumberFormat="1" applyFont="1" applyFill="1" applyBorder="1" applyProtection="1"/>
    <xf numFmtId="169" fontId="20" fillId="0" borderId="1" xfId="4" applyNumberFormat="1" applyFont="1" applyBorder="1" applyProtection="1"/>
    <xf numFmtId="37" fontId="11" fillId="8" borderId="0" xfId="0" applyFont="1" applyFill="1" applyAlignment="1" applyProtection="1">
      <alignment horizontal="center" wrapText="1"/>
      <protection locked="0"/>
    </xf>
    <xf numFmtId="37" fontId="11" fillId="8" borderId="0" xfId="0" applyFont="1" applyFill="1" applyAlignment="1" applyProtection="1">
      <alignment horizontal="center"/>
      <protection locked="0"/>
    </xf>
    <xf numFmtId="168" fontId="11" fillId="1" borderId="0" xfId="3" applyNumberFormat="1" applyFont="1" applyFill="1" applyAlignment="1" applyProtection="1">
      <alignment wrapText="1"/>
    </xf>
    <xf numFmtId="168" fontId="11" fillId="8" borderId="1" xfId="3" applyNumberFormat="1" applyFont="1" applyFill="1" applyBorder="1" applyProtection="1"/>
    <xf numFmtId="9" fontId="11" fillId="0" borderId="0" xfId="1" applyFont="1" applyProtection="1"/>
    <xf numFmtId="9" fontId="11" fillId="4" borderId="0" xfId="0" applyNumberFormat="1" applyFont="1" applyFill="1" applyProtection="1">
      <protection locked="0"/>
    </xf>
    <xf numFmtId="168" fontId="11" fillId="8" borderId="10" xfId="3" applyNumberFormat="1" applyFont="1" applyFill="1" applyBorder="1" applyProtection="1"/>
    <xf numFmtId="168" fontId="20" fillId="0" borderId="32" xfId="3" applyNumberFormat="1" applyFont="1" applyBorder="1" applyProtection="1"/>
    <xf numFmtId="168" fontId="11" fillId="0" borderId="29" xfId="3" applyNumberFormat="1" applyFont="1" applyBorder="1" applyProtection="1"/>
    <xf numFmtId="9" fontId="11" fillId="4" borderId="29" xfId="1" applyFont="1" applyFill="1" applyBorder="1" applyProtection="1">
      <protection locked="0"/>
    </xf>
    <xf numFmtId="9" fontId="11" fillId="4" borderId="0" xfId="1" applyFont="1" applyFill="1" applyBorder="1" applyProtection="1">
      <protection locked="0"/>
    </xf>
    <xf numFmtId="10" fontId="11" fillId="0" borderId="0" xfId="1" applyNumberFormat="1" applyFont="1" applyBorder="1" applyProtection="1"/>
    <xf numFmtId="37" fontId="16" fillId="0" borderId="16" xfId="0" applyFont="1" applyBorder="1" applyProtection="1">
      <protection locked="0"/>
    </xf>
    <xf numFmtId="3" fontId="11" fillId="4" borderId="11" xfId="0" applyNumberFormat="1" applyFont="1" applyFill="1" applyBorder="1" applyAlignment="1" applyProtection="1">
      <alignment horizontal="center"/>
      <protection locked="0"/>
    </xf>
    <xf numFmtId="9" fontId="34" fillId="0" borderId="0" xfId="1" applyFont="1" applyProtection="1"/>
    <xf numFmtId="37" fontId="16" fillId="0" borderId="0" xfId="0" applyFont="1" applyProtection="1">
      <protection locked="0"/>
    </xf>
    <xf numFmtId="168" fontId="11" fillId="4" borderId="6" xfId="3" applyNumberFormat="1" applyFont="1" applyFill="1" applyBorder="1" applyProtection="1">
      <protection locked="0"/>
    </xf>
    <xf numFmtId="168" fontId="11" fillId="8" borderId="0" xfId="3" applyNumberFormat="1" applyFont="1" applyFill="1" applyBorder="1" applyProtection="1"/>
    <xf numFmtId="168" fontId="21" fillId="0" borderId="1" xfId="3" applyNumberFormat="1" applyFont="1" applyFill="1" applyBorder="1" applyProtection="1"/>
    <xf numFmtId="168" fontId="20" fillId="0" borderId="0" xfId="3" applyNumberFormat="1" applyFont="1" applyBorder="1" applyProtection="1"/>
    <xf numFmtId="168" fontId="11" fillId="1" borderId="0" xfId="3" applyNumberFormat="1" applyFont="1" applyFill="1" applyBorder="1" applyProtection="1"/>
    <xf numFmtId="168" fontId="20" fillId="0" borderId="16" xfId="3" applyNumberFormat="1" applyFont="1" applyBorder="1" applyProtection="1"/>
    <xf numFmtId="168" fontId="20" fillId="0" borderId="9" xfId="3" applyNumberFormat="1" applyFont="1" applyBorder="1" applyProtection="1"/>
    <xf numFmtId="168" fontId="11" fillId="0" borderId="1" xfId="3" applyNumberFormat="1" applyFont="1" applyBorder="1" applyProtection="1">
      <protection locked="0"/>
    </xf>
    <xf numFmtId="169" fontId="20" fillId="0" borderId="1" xfId="4" applyNumberFormat="1" applyFont="1" applyBorder="1"/>
    <xf numFmtId="49" fontId="20" fillId="4" borderId="3" xfId="0" applyNumberFormat="1" applyFont="1" applyFill="1" applyBorder="1" applyAlignment="1" applyProtection="1">
      <alignment horizontal="center"/>
      <protection locked="0"/>
    </xf>
    <xf numFmtId="49" fontId="11" fillId="4" borderId="3" xfId="0" applyNumberFormat="1" applyFont="1" applyFill="1" applyBorder="1" applyProtection="1">
      <protection locked="0"/>
    </xf>
    <xf numFmtId="0" fontId="11" fillId="0" borderId="0" xfId="3" applyNumberFormat="1" applyFont="1" applyBorder="1" applyProtection="1"/>
    <xf numFmtId="168" fontId="20" fillId="0" borderId="35" xfId="3" applyNumberFormat="1" applyFont="1" applyBorder="1" applyProtection="1"/>
    <xf numFmtId="168" fontId="11" fillId="0" borderId="35" xfId="3" applyNumberFormat="1" applyFont="1" applyBorder="1" applyProtection="1"/>
    <xf numFmtId="37" fontId="14" fillId="0" borderId="0" xfId="0" applyFont="1" applyProtection="1">
      <protection locked="0"/>
    </xf>
    <xf numFmtId="171" fontId="8" fillId="4" borderId="0" xfId="0" applyNumberFormat="1" applyFont="1" applyFill="1" applyProtection="1">
      <protection locked="0"/>
    </xf>
    <xf numFmtId="10" fontId="8" fillId="9" borderId="0" xfId="0" applyNumberFormat="1" applyFont="1" applyFill="1" applyProtection="1">
      <protection locked="0"/>
    </xf>
    <xf numFmtId="168" fontId="11" fillId="0" borderId="17" xfId="3" applyNumberFormat="1" applyFont="1" applyFill="1" applyBorder="1" applyProtection="1"/>
    <xf numFmtId="168" fontId="11" fillId="0" borderId="7" xfId="3" applyNumberFormat="1" applyFont="1" applyFill="1" applyBorder="1" applyProtection="1"/>
    <xf numFmtId="168" fontId="11" fillId="0" borderId="16" xfId="3" applyNumberFormat="1" applyFont="1" applyBorder="1" applyProtection="1">
      <protection locked="0"/>
    </xf>
    <xf numFmtId="10" fontId="8" fillId="3" borderId="0" xfId="1" applyNumberFormat="1" applyFont="1" applyFill="1" applyProtection="1"/>
    <xf numFmtId="37" fontId="37" fillId="0" borderId="0" xfId="0" applyFont="1"/>
    <xf numFmtId="37" fontId="37" fillId="0" borderId="36" xfId="0" applyFont="1" applyBorder="1" applyAlignment="1">
      <alignment wrapText="1"/>
    </xf>
    <xf numFmtId="37" fontId="37" fillId="0" borderId="37" xfId="0" applyFont="1" applyBorder="1" applyProtection="1">
      <protection locked="0"/>
    </xf>
    <xf numFmtId="37" fontId="37" fillId="0" borderId="0" xfId="0" applyFont="1" applyAlignment="1">
      <alignment wrapText="1"/>
    </xf>
    <xf numFmtId="37" fontId="38" fillId="4" borderId="38" xfId="0" applyFont="1" applyFill="1" applyBorder="1" applyAlignment="1">
      <alignment vertical="center" wrapText="1"/>
    </xf>
    <xf numFmtId="37" fontId="26" fillId="4" borderId="39" xfId="0" applyFont="1" applyFill="1" applyBorder="1" applyAlignment="1">
      <alignment vertical="center" wrapText="1"/>
    </xf>
    <xf numFmtId="37" fontId="38" fillId="4" borderId="40" xfId="0" applyFont="1" applyFill="1" applyBorder="1" applyAlignment="1">
      <alignment horizontal="left" vertical="center" wrapText="1"/>
    </xf>
    <xf numFmtId="37" fontId="38" fillId="4" borderId="5" xfId="0" applyFont="1" applyFill="1" applyBorder="1" applyAlignment="1">
      <alignment vertical="center" wrapText="1"/>
    </xf>
    <xf numFmtId="37" fontId="38" fillId="4" borderId="6" xfId="0" applyFont="1" applyFill="1" applyBorder="1" applyAlignment="1">
      <alignment vertical="center" wrapText="1"/>
    </xf>
    <xf numFmtId="37" fontId="38" fillId="0" borderId="42" xfId="0" applyFont="1" applyBorder="1" applyAlignment="1">
      <alignment wrapText="1"/>
    </xf>
    <xf numFmtId="37" fontId="26" fillId="0" borderId="7" xfId="0" applyFont="1" applyBorder="1" applyAlignment="1">
      <alignment horizontal="right"/>
    </xf>
    <xf numFmtId="37" fontId="27" fillId="0" borderId="0" xfId="0" applyFont="1" applyAlignment="1">
      <alignment horizontal="center" vertical="center"/>
    </xf>
    <xf numFmtId="37" fontId="26" fillId="0" borderId="0" xfId="0" applyFont="1" applyAlignment="1">
      <alignment vertical="center"/>
    </xf>
    <xf numFmtId="37" fontId="26" fillId="0" borderId="43" xfId="0" applyFont="1" applyBorder="1" applyAlignment="1">
      <alignment vertical="center"/>
    </xf>
    <xf numFmtId="37" fontId="38" fillId="0" borderId="42" xfId="0" applyFont="1" applyBorder="1" applyAlignment="1">
      <alignment vertical="center" wrapText="1"/>
    </xf>
    <xf numFmtId="172" fontId="26" fillId="0" borderId="7" xfId="0" applyNumberFormat="1" applyFont="1" applyBorder="1" applyAlignment="1">
      <alignment vertical="center"/>
    </xf>
    <xf numFmtId="37" fontId="38" fillId="0" borderId="44" xfId="0" applyFont="1" applyBorder="1" applyAlignment="1">
      <alignment vertical="center" wrapText="1"/>
    </xf>
    <xf numFmtId="37" fontId="26" fillId="0" borderId="6" xfId="0" applyFont="1" applyBorder="1" applyAlignment="1">
      <alignment wrapText="1"/>
    </xf>
    <xf numFmtId="37" fontId="27" fillId="0" borderId="3" xfId="0" applyFont="1" applyBorder="1" applyAlignment="1">
      <alignment horizontal="center" vertical="center"/>
    </xf>
    <xf numFmtId="37" fontId="26" fillId="0" borderId="3" xfId="0" applyFont="1" applyBorder="1" applyAlignment="1">
      <alignment vertical="center"/>
    </xf>
    <xf numFmtId="37" fontId="26" fillId="0" borderId="45" xfId="0" applyFont="1" applyBorder="1" applyAlignment="1">
      <alignment vertical="center"/>
    </xf>
    <xf numFmtId="37" fontId="38" fillId="4" borderId="42" xfId="0" applyFont="1" applyFill="1" applyBorder="1" applyAlignment="1">
      <alignment vertical="center" wrapText="1"/>
    </xf>
    <xf numFmtId="172" fontId="26" fillId="4" borderId="7" xfId="0" applyNumberFormat="1" applyFont="1" applyFill="1" applyBorder="1" applyAlignment="1">
      <alignment vertical="center"/>
    </xf>
    <xf numFmtId="172" fontId="26" fillId="4" borderId="7" xfId="0" applyNumberFormat="1" applyFont="1" applyFill="1" applyBorder="1" applyAlignment="1">
      <alignment horizontal="right" vertical="center"/>
    </xf>
    <xf numFmtId="37" fontId="38" fillId="4" borderId="44" xfId="0" applyFont="1" applyFill="1" applyBorder="1" applyAlignment="1">
      <alignment vertical="center" wrapText="1"/>
    </xf>
    <xf numFmtId="172" fontId="26" fillId="4" borderId="8" xfId="0" applyNumberFormat="1" applyFont="1" applyFill="1" applyBorder="1" applyAlignment="1">
      <alignment horizontal="right" vertical="center"/>
    </xf>
    <xf numFmtId="37" fontId="38" fillId="0" borderId="46" xfId="0" applyFont="1" applyBorder="1" applyAlignment="1">
      <alignment vertical="center" wrapText="1"/>
    </xf>
    <xf numFmtId="37" fontId="38" fillId="0" borderId="4" xfId="0" applyFont="1" applyBorder="1" applyAlignment="1">
      <alignment vertical="center" wrapText="1"/>
    </xf>
    <xf numFmtId="0" fontId="38" fillId="0" borderId="42" xfId="0" applyNumberFormat="1" applyFont="1" applyBorder="1" applyAlignment="1">
      <alignment horizontal="right" vertical="center" wrapText="1"/>
    </xf>
    <xf numFmtId="37" fontId="38" fillId="0" borderId="5" xfId="0" applyFont="1" applyBorder="1" applyAlignment="1">
      <alignment vertical="center" wrapText="1"/>
    </xf>
    <xf numFmtId="37" fontId="26" fillId="0" borderId="0" xfId="0" applyFont="1" applyAlignment="1" applyProtection="1">
      <alignment horizontal="right" vertical="center"/>
      <protection locked="0"/>
    </xf>
    <xf numFmtId="37" fontId="26" fillId="0" borderId="43" xfId="0" applyFont="1" applyBorder="1" applyAlignment="1" applyProtection="1">
      <alignment horizontal="right" vertical="center"/>
      <protection locked="0"/>
    </xf>
    <xf numFmtId="37" fontId="40" fillId="0" borderId="5" xfId="0" applyFont="1" applyBorder="1" applyAlignment="1">
      <alignment vertical="center" wrapText="1"/>
    </xf>
    <xf numFmtId="37" fontId="38" fillId="0" borderId="3" xfId="0" applyFont="1" applyBorder="1" applyAlignment="1">
      <alignment vertical="center" wrapText="1"/>
    </xf>
    <xf numFmtId="37" fontId="26" fillId="0" borderId="3" xfId="0" applyFont="1" applyBorder="1" applyAlignment="1" applyProtection="1">
      <alignment horizontal="right" vertical="center"/>
      <protection locked="0"/>
    </xf>
    <xf numFmtId="37" fontId="26" fillId="0" borderId="45" xfId="0" applyFont="1" applyBorder="1" applyAlignment="1" applyProtection="1">
      <alignment horizontal="right" vertical="center"/>
      <protection locked="0"/>
    </xf>
    <xf numFmtId="37" fontId="38" fillId="4" borderId="0" xfId="0" applyFont="1" applyFill="1" applyAlignment="1">
      <alignment vertical="center" wrapText="1"/>
    </xf>
    <xf numFmtId="37" fontId="26" fillId="4" borderId="8" xfId="0" applyFont="1" applyFill="1" applyBorder="1" applyAlignment="1">
      <alignment horizontal="right" vertical="center"/>
    </xf>
    <xf numFmtId="37" fontId="38" fillId="4" borderId="3" xfId="0" applyFont="1" applyFill="1" applyBorder="1" applyAlignment="1">
      <alignment vertical="center" wrapText="1"/>
    </xf>
    <xf numFmtId="172" fontId="26" fillId="0" borderId="0" xfId="0" applyNumberFormat="1" applyFont="1" applyAlignment="1">
      <alignment horizontal="right"/>
    </xf>
    <xf numFmtId="37" fontId="39" fillId="0" borderId="0" xfId="0" applyFont="1" applyAlignment="1">
      <alignment wrapText="1"/>
    </xf>
    <xf numFmtId="37" fontId="39" fillId="0" borderId="0" xfId="0" applyFont="1" applyAlignment="1">
      <alignment horizontal="right"/>
    </xf>
    <xf numFmtId="37" fontId="38" fillId="4" borderId="46" xfId="0" applyFont="1" applyFill="1" applyBorder="1" applyAlignment="1">
      <alignment vertical="center" wrapText="1"/>
    </xf>
    <xf numFmtId="172" fontId="26" fillId="4" borderId="17" xfId="0" applyNumberFormat="1" applyFont="1" applyFill="1" applyBorder="1" applyAlignment="1">
      <alignment horizontal="right" vertical="center"/>
    </xf>
    <xf numFmtId="37" fontId="38" fillId="4" borderId="1" xfId="0" applyFont="1" applyFill="1" applyBorder="1" applyAlignment="1">
      <alignment vertical="center" wrapText="1"/>
    </xf>
    <xf numFmtId="37" fontId="37" fillId="0" borderId="0" xfId="0" applyFont="1" applyAlignment="1">
      <alignment vertical="center"/>
    </xf>
    <xf numFmtId="37" fontId="26" fillId="4" borderId="7" xfId="0" applyFont="1" applyFill="1" applyBorder="1" applyAlignment="1">
      <alignment horizontal="right" vertical="center"/>
    </xf>
    <xf numFmtId="37" fontId="38" fillId="0" borderId="49" xfId="0" applyFont="1" applyBorder="1" applyAlignment="1">
      <alignment vertical="center" wrapText="1"/>
    </xf>
    <xf numFmtId="172" fontId="26" fillId="0" borderId="25" xfId="0" applyNumberFormat="1" applyFont="1" applyBorder="1" applyAlignment="1">
      <alignment horizontal="right" vertical="center"/>
    </xf>
    <xf numFmtId="37" fontId="39" fillId="0" borderId="25" xfId="0" applyFont="1" applyBorder="1" applyAlignment="1">
      <alignment vertical="center" wrapText="1"/>
    </xf>
    <xf numFmtId="10" fontId="26" fillId="0" borderId="25" xfId="1" applyNumberFormat="1" applyFont="1" applyFill="1" applyBorder="1" applyAlignment="1">
      <alignment horizontal="left" vertical="center"/>
    </xf>
    <xf numFmtId="37" fontId="39" fillId="0" borderId="25" xfId="0" applyFont="1" applyBorder="1" applyAlignment="1">
      <alignment vertical="center"/>
    </xf>
    <xf numFmtId="0" fontId="26" fillId="0" borderId="48" xfId="1" applyNumberFormat="1" applyFont="1" applyFill="1" applyBorder="1" applyAlignment="1">
      <alignment horizontal="left" vertical="center"/>
    </xf>
    <xf numFmtId="172" fontId="26" fillId="4" borderId="0" xfId="0" applyNumberFormat="1" applyFont="1" applyFill="1" applyAlignment="1">
      <alignment horizontal="right" vertical="center"/>
    </xf>
    <xf numFmtId="37" fontId="39" fillId="4" borderId="0" xfId="0" applyFont="1" applyFill="1" applyAlignment="1">
      <alignment vertical="center" wrapText="1"/>
    </xf>
    <xf numFmtId="37" fontId="26" fillId="4" borderId="0" xfId="0" applyFont="1" applyFill="1" applyAlignment="1">
      <alignment vertical="center"/>
    </xf>
    <xf numFmtId="37" fontId="39" fillId="4" borderId="0" xfId="0" applyFont="1" applyFill="1" applyAlignment="1">
      <alignment vertical="center"/>
    </xf>
    <xf numFmtId="37" fontId="26" fillId="4" borderId="43" xfId="0" applyFont="1" applyFill="1" applyBorder="1" applyAlignment="1">
      <alignment vertical="center"/>
    </xf>
    <xf numFmtId="172" fontId="26" fillId="4" borderId="27" xfId="0" applyNumberFormat="1" applyFont="1" applyFill="1" applyBorder="1" applyAlignment="1">
      <alignment horizontal="right" vertical="center"/>
    </xf>
    <xf numFmtId="37" fontId="39" fillId="4" borderId="27" xfId="0" applyFont="1" applyFill="1" applyBorder="1" applyAlignment="1">
      <alignment vertical="center" wrapText="1"/>
    </xf>
    <xf numFmtId="10" fontId="26" fillId="4" borderId="27" xfId="1" applyNumberFormat="1" applyFont="1" applyFill="1" applyBorder="1" applyAlignment="1">
      <alignment horizontal="left" vertical="center"/>
    </xf>
    <xf numFmtId="37" fontId="39" fillId="4" borderId="27" xfId="0" applyFont="1" applyFill="1" applyBorder="1" applyAlignment="1">
      <alignment vertical="center"/>
    </xf>
    <xf numFmtId="37" fontId="26" fillId="4" borderId="51" xfId="0" applyFont="1" applyFill="1" applyBorder="1" applyAlignment="1">
      <alignment horizontal="left" vertical="center"/>
    </xf>
    <xf numFmtId="37" fontId="39" fillId="0" borderId="0" xfId="0" applyFont="1"/>
    <xf numFmtId="37" fontId="26" fillId="0" borderId="43" xfId="0" applyFont="1" applyBorder="1"/>
    <xf numFmtId="37" fontId="37" fillId="0" borderId="0" xfId="0" quotePrefix="1" applyFont="1" applyAlignment="1">
      <alignment wrapText="1"/>
    </xf>
    <xf numFmtId="37" fontId="26" fillId="0" borderId="42" xfId="0" applyFont="1" applyBorder="1" applyAlignment="1">
      <alignment vertical="center" wrapText="1"/>
    </xf>
    <xf numFmtId="10" fontId="26" fillId="0" borderId="0" xfId="1" applyNumberFormat="1" applyFont="1" applyBorder="1" applyAlignment="1">
      <alignment horizontal="right" vertical="center"/>
    </xf>
    <xf numFmtId="37" fontId="26" fillId="0" borderId="0" xfId="0" applyFont="1" applyAlignment="1">
      <alignment vertical="center" wrapText="1"/>
    </xf>
    <xf numFmtId="37" fontId="26" fillId="0" borderId="50" xfId="0" applyFont="1" applyBorder="1" applyAlignment="1">
      <alignment wrapText="1"/>
    </xf>
    <xf numFmtId="37" fontId="26" fillId="0" borderId="27" xfId="0" applyFont="1" applyBorder="1"/>
    <xf numFmtId="37" fontId="26" fillId="0" borderId="27" xfId="0" applyFont="1" applyBorder="1" applyAlignment="1">
      <alignment wrapText="1"/>
    </xf>
    <xf numFmtId="37" fontId="26" fillId="0" borderId="51" xfId="0" applyFont="1" applyBorder="1"/>
    <xf numFmtId="37" fontId="36" fillId="0" borderId="0" xfId="0" applyFont="1"/>
    <xf numFmtId="37" fontId="43" fillId="0" borderId="0" xfId="0" applyFont="1" applyAlignment="1">
      <alignment horizontal="left"/>
    </xf>
    <xf numFmtId="37" fontId="43" fillId="0" borderId="0" xfId="0" applyFont="1" applyAlignment="1">
      <alignment horizontal="left" vertical="center"/>
    </xf>
    <xf numFmtId="10" fontId="26" fillId="0" borderId="0" xfId="0" applyNumberFormat="1" applyFont="1" applyAlignment="1">
      <alignment vertical="center"/>
    </xf>
    <xf numFmtId="37" fontId="37" fillId="0" borderId="0" xfId="0" applyFont="1" applyAlignment="1">
      <alignment vertical="center" wrapText="1"/>
    </xf>
    <xf numFmtId="10" fontId="26" fillId="0" borderId="0" xfId="1" applyNumberFormat="1" applyFont="1" applyAlignment="1">
      <alignment horizontal="right"/>
    </xf>
    <xf numFmtId="37" fontId="26" fillId="0" borderId="0" xfId="0" applyFont="1" applyAlignment="1">
      <alignment horizontal="right"/>
    </xf>
    <xf numFmtId="37" fontId="26" fillId="10" borderId="38" xfId="0" applyFont="1" applyFill="1" applyBorder="1" applyAlignment="1">
      <alignment wrapText="1"/>
    </xf>
    <xf numFmtId="37" fontId="26" fillId="10" borderId="39" xfId="0" applyFont="1" applyFill="1" applyBorder="1" applyAlignment="1">
      <alignment horizontal="right"/>
    </xf>
    <xf numFmtId="37" fontId="26" fillId="10" borderId="39" xfId="0" applyFont="1" applyFill="1" applyBorder="1" applyAlignment="1">
      <alignment horizontal="right" wrapText="1"/>
    </xf>
    <xf numFmtId="37" fontId="26" fillId="10" borderId="41" xfId="0" applyFont="1" applyFill="1" applyBorder="1" applyAlignment="1">
      <alignment horizontal="right"/>
    </xf>
    <xf numFmtId="37" fontId="26" fillId="0" borderId="42" xfId="0" applyFont="1" applyBorder="1" applyAlignment="1">
      <alignment wrapText="1"/>
    </xf>
    <xf numFmtId="9" fontId="26" fillId="0" borderId="0" xfId="1" applyFont="1" applyBorder="1" applyAlignment="1">
      <alignment wrapText="1"/>
    </xf>
    <xf numFmtId="9" fontId="26" fillId="0" borderId="27" xfId="1" applyFont="1" applyBorder="1" applyAlignment="1">
      <alignment wrapText="1"/>
    </xf>
    <xf numFmtId="1" fontId="11" fillId="4" borderId="12" xfId="0" applyNumberFormat="1" applyFont="1" applyFill="1" applyBorder="1" applyProtection="1">
      <protection locked="0"/>
    </xf>
    <xf numFmtId="37" fontId="11" fillId="4" borderId="12" xfId="0" applyFont="1" applyFill="1" applyBorder="1" applyProtection="1">
      <protection locked="0"/>
    </xf>
    <xf numFmtId="9" fontId="13" fillId="7" borderId="15" xfId="1" applyFont="1" applyFill="1" applyBorder="1" applyProtection="1"/>
    <xf numFmtId="9" fontId="13" fillId="7" borderId="11" xfId="1" applyFont="1" applyFill="1" applyBorder="1" applyProtection="1"/>
    <xf numFmtId="9" fontId="13" fillId="7" borderId="14" xfId="1" applyFont="1" applyFill="1" applyBorder="1" applyAlignment="1" applyProtection="1">
      <alignment horizontal="right"/>
    </xf>
    <xf numFmtId="9" fontId="13" fillId="0" borderId="13" xfId="1" applyFont="1" applyBorder="1" applyAlignment="1" applyProtection="1">
      <alignment horizontal="center" wrapText="1"/>
    </xf>
    <xf numFmtId="9" fontId="13" fillId="0" borderId="11" xfId="1" quotePrefix="1" applyFont="1" applyBorder="1" applyAlignment="1" applyProtection="1">
      <alignment horizontal="center" wrapText="1"/>
    </xf>
    <xf numFmtId="37" fontId="20" fillId="0" borderId="0" xfId="0" applyFont="1" applyAlignment="1">
      <alignment horizontal="left" wrapText="1"/>
    </xf>
    <xf numFmtId="37" fontId="20" fillId="0" borderId="0" xfId="0" applyFont="1" applyAlignment="1">
      <alignment horizontal="center"/>
    </xf>
    <xf numFmtId="37" fontId="20" fillId="0" borderId="3" xfId="0" applyFont="1" applyBorder="1" applyAlignment="1">
      <alignment horizontal="left"/>
    </xf>
    <xf numFmtId="37" fontId="11" fillId="0" borderId="0" xfId="0" applyFont="1" applyAlignment="1">
      <alignment horizontal="center"/>
    </xf>
    <xf numFmtId="37" fontId="24" fillId="0" borderId="0" xfId="0" applyFont="1" applyAlignment="1">
      <alignment horizontal="center"/>
    </xf>
    <xf numFmtId="169" fontId="11" fillId="0" borderId="3" xfId="4" applyNumberFormat="1" applyFont="1" applyBorder="1" applyProtection="1"/>
    <xf numFmtId="1" fontId="20" fillId="0" borderId="0" xfId="0" applyNumberFormat="1" applyFont="1"/>
    <xf numFmtId="0" fontId="26" fillId="0" borderId="7" xfId="0" applyNumberFormat="1" applyFont="1" applyBorder="1" applyAlignment="1">
      <alignment horizontal="right" vertical="center"/>
    </xf>
    <xf numFmtId="0" fontId="26" fillId="0" borderId="3" xfId="0" applyNumberFormat="1" applyFont="1" applyBorder="1" applyAlignment="1">
      <alignment horizontal="right" vertical="center"/>
    </xf>
    <xf numFmtId="37" fontId="31" fillId="10" borderId="0" xfId="0" applyFont="1" applyFill="1" applyAlignment="1" applyProtection="1">
      <alignment wrapText="1"/>
      <protection locked="0"/>
    </xf>
    <xf numFmtId="44" fontId="20" fillId="0" borderId="0" xfId="3" applyFont="1" applyBorder="1" applyProtection="1"/>
    <xf numFmtId="44" fontId="11" fillId="0" borderId="0" xfId="3" applyFont="1" applyBorder="1" applyProtection="1"/>
    <xf numFmtId="37" fontId="11" fillId="0" borderId="19" xfId="0" applyFont="1" applyBorder="1"/>
    <xf numFmtId="168" fontId="11" fillId="0" borderId="19" xfId="3" applyNumberFormat="1" applyFont="1" applyFill="1" applyBorder="1" applyProtection="1"/>
    <xf numFmtId="9" fontId="11" fillId="9" borderId="0" xfId="1" applyFont="1" applyFill="1" applyAlignment="1" applyProtection="1">
      <alignment horizontal="right"/>
    </xf>
    <xf numFmtId="10" fontId="13" fillId="9" borderId="0" xfId="1" applyNumberFormat="1" applyFont="1" applyFill="1" applyAlignment="1" applyProtection="1">
      <alignment horizontal="right"/>
    </xf>
    <xf numFmtId="168" fontId="11" fillId="0" borderId="8" xfId="3" applyNumberFormat="1" applyFont="1" applyFill="1" applyBorder="1" applyProtection="1"/>
    <xf numFmtId="44" fontId="11" fillId="0" borderId="7" xfId="3" applyFont="1" applyFill="1" applyBorder="1" applyProtection="1"/>
    <xf numFmtId="10" fontId="11" fillId="9" borderId="0" xfId="0" applyNumberFormat="1" applyFont="1" applyFill="1"/>
    <xf numFmtId="168" fontId="11" fillId="4" borderId="14" xfId="3" applyNumberFormat="1" applyFont="1" applyFill="1" applyBorder="1" applyProtection="1">
      <protection locked="0"/>
    </xf>
    <xf numFmtId="0" fontId="20" fillId="0" borderId="35" xfId="3" applyNumberFormat="1" applyFont="1" applyBorder="1" applyProtection="1"/>
    <xf numFmtId="168" fontId="13" fillId="2" borderId="0" xfId="3" applyNumberFormat="1" applyFont="1" applyFill="1" applyProtection="1"/>
    <xf numFmtId="168" fontId="11" fillId="2" borderId="0" xfId="3" applyNumberFormat="1" applyFont="1" applyFill="1" applyProtection="1"/>
    <xf numFmtId="37" fontId="11" fillId="8" borderId="0" xfId="0" applyFont="1" applyFill="1" applyAlignment="1">
      <alignment horizontal="right"/>
    </xf>
    <xf numFmtId="37" fontId="20" fillId="4" borderId="0" xfId="0" applyFont="1" applyFill="1" applyAlignment="1" applyProtection="1">
      <alignment horizontal="left"/>
      <protection locked="0"/>
    </xf>
    <xf numFmtId="169" fontId="11" fillId="8" borderId="0" xfId="4" applyNumberFormat="1" applyFont="1" applyFill="1"/>
    <xf numFmtId="169" fontId="11" fillId="8" borderId="3" xfId="4" applyNumberFormat="1" applyFont="1" applyFill="1" applyBorder="1" applyProtection="1"/>
    <xf numFmtId="10" fontId="8" fillId="4" borderId="0" xfId="1" applyNumberFormat="1" applyFont="1" applyFill="1" applyAlignment="1" applyProtection="1">
      <alignment wrapText="1"/>
      <protection locked="0"/>
    </xf>
    <xf numFmtId="44" fontId="11" fillId="0" borderId="1" xfId="3" applyFont="1" applyFill="1" applyBorder="1" applyProtection="1"/>
    <xf numFmtId="44" fontId="20" fillId="0" borderId="0" xfId="3" applyFont="1" applyFill="1" applyProtection="1"/>
    <xf numFmtId="44" fontId="11" fillId="0" borderId="0" xfId="3" applyFont="1" applyFill="1" applyProtection="1"/>
    <xf numFmtId="44" fontId="11" fillId="0" borderId="25" xfId="3" applyFont="1" applyFill="1" applyBorder="1" applyProtection="1"/>
    <xf numFmtId="44" fontId="11" fillId="0" borderId="28" xfId="3" applyFont="1" applyFill="1" applyBorder="1" applyProtection="1"/>
    <xf numFmtId="44" fontId="20" fillId="0" borderId="2" xfId="3" applyFont="1" applyFill="1" applyBorder="1" applyProtection="1"/>
    <xf numFmtId="37" fontId="11" fillId="0" borderId="0" xfId="3" applyNumberFormat="1" applyFont="1" applyProtection="1"/>
    <xf numFmtId="37" fontId="11" fillId="0" borderId="35" xfId="3" applyNumberFormat="1" applyFont="1" applyBorder="1" applyProtection="1"/>
    <xf numFmtId="37" fontId="11" fillId="0" borderId="0" xfId="3" applyNumberFormat="1" applyFont="1" applyBorder="1" applyProtection="1"/>
    <xf numFmtId="37" fontId="20" fillId="0" borderId="35" xfId="3" applyNumberFormat="1" applyFont="1" applyBorder="1" applyProtection="1"/>
    <xf numFmtId="37" fontId="11" fillId="0" borderId="27" xfId="3" applyNumberFormat="1" applyFont="1" applyBorder="1" applyProtection="1"/>
    <xf numFmtId="37" fontId="11" fillId="0" borderId="16" xfId="3" applyNumberFormat="1" applyFont="1" applyBorder="1" applyProtection="1"/>
    <xf numFmtId="0" fontId="50" fillId="0" borderId="0" xfId="5" applyFont="1" applyAlignment="1">
      <alignment vertical="center"/>
    </xf>
    <xf numFmtId="0" fontId="50" fillId="0" borderId="0" xfId="5" applyFont="1" applyAlignment="1">
      <alignment horizontal="left" vertical="center"/>
    </xf>
    <xf numFmtId="0" fontId="51" fillId="0" borderId="0" xfId="6" applyFont="1" applyAlignment="1">
      <alignment vertical="center"/>
    </xf>
    <xf numFmtId="0" fontId="52" fillId="0" borderId="52" xfId="5" applyFont="1" applyBorder="1" applyAlignment="1">
      <alignment horizontal="left"/>
    </xf>
    <xf numFmtId="0" fontId="53" fillId="0" borderId="0" xfId="7" applyFont="1"/>
    <xf numFmtId="0" fontId="53" fillId="0" borderId="0" xfId="6" applyFont="1"/>
    <xf numFmtId="0" fontId="31" fillId="0" borderId="0" xfId="8"/>
    <xf numFmtId="0" fontId="53" fillId="0" borderId="0" xfId="7" applyFont="1" applyAlignment="1">
      <alignment horizontal="left"/>
    </xf>
    <xf numFmtId="0" fontId="54" fillId="0" borderId="0" xfId="5" applyFont="1"/>
    <xf numFmtId="10" fontId="53" fillId="0" borderId="0" xfId="6" applyNumberFormat="1" applyFont="1"/>
    <xf numFmtId="0" fontId="55" fillId="0" borderId="0" xfId="6" applyFont="1" applyAlignment="1">
      <alignment vertical="center"/>
    </xf>
    <xf numFmtId="0" fontId="55" fillId="0" borderId="0" xfId="6" applyFont="1" applyAlignment="1">
      <alignment horizontal="left" vertical="center"/>
    </xf>
    <xf numFmtId="0" fontId="48" fillId="0" borderId="0" xfId="9" applyFont="1"/>
    <xf numFmtId="37" fontId="53" fillId="0" borderId="0" xfId="7" applyNumberFormat="1" applyFont="1" applyAlignment="1">
      <alignment horizontal="left"/>
    </xf>
    <xf numFmtId="0" fontId="1" fillId="0" borderId="0" xfId="9"/>
    <xf numFmtId="9" fontId="53" fillId="0" borderId="0" xfId="10" quotePrefix="1" applyFont="1"/>
    <xf numFmtId="0" fontId="56" fillId="0" borderId="0" xfId="7" applyFont="1"/>
    <xf numFmtId="2" fontId="53" fillId="0" borderId="0" xfId="7" applyNumberFormat="1" applyFont="1" applyAlignment="1">
      <alignment horizontal="left"/>
    </xf>
    <xf numFmtId="4" fontId="53" fillId="0" borderId="0" xfId="7" applyNumberFormat="1" applyFont="1" applyAlignment="1">
      <alignment horizontal="left"/>
    </xf>
    <xf numFmtId="0" fontId="53" fillId="0" borderId="0" xfId="6" applyFont="1" applyAlignment="1">
      <alignment horizontal="left"/>
    </xf>
    <xf numFmtId="0" fontId="59" fillId="11" borderId="52" xfId="11" applyAlignment="1">
      <alignment horizontal="left"/>
    </xf>
    <xf numFmtId="0" fontId="60" fillId="0" borderId="0" xfId="12" applyFont="1"/>
    <xf numFmtId="44" fontId="60" fillId="0" borderId="0" xfId="13" applyFont="1" applyFill="1"/>
    <xf numFmtId="44" fontId="61" fillId="0" borderId="0" xfId="13" applyFont="1" applyFill="1" applyAlignment="1">
      <alignment horizontal="left"/>
    </xf>
    <xf numFmtId="0" fontId="62" fillId="0" borderId="0" xfId="12" applyFont="1"/>
    <xf numFmtId="173" fontId="63" fillId="0" borderId="11" xfId="12" applyNumberFormat="1" applyFont="1" applyBorder="1"/>
    <xf numFmtId="44" fontId="62" fillId="0" borderId="11" xfId="13" applyFont="1" applyFill="1" applyBorder="1" applyAlignment="1">
      <alignment horizontal="right"/>
    </xf>
    <xf numFmtId="44" fontId="62" fillId="0" borderId="11" xfId="13" applyFont="1" applyFill="1" applyBorder="1" applyAlignment="1">
      <alignment horizontal="left"/>
    </xf>
    <xf numFmtId="173" fontId="62" fillId="0" borderId="11" xfId="12" applyNumberFormat="1" applyFont="1" applyBorder="1"/>
    <xf numFmtId="4" fontId="62" fillId="0" borderId="0" xfId="12" applyNumberFormat="1" applyFont="1" applyAlignment="1">
      <alignment horizontal="right"/>
    </xf>
    <xf numFmtId="9" fontId="62" fillId="12" borderId="11" xfId="14" applyFont="1" applyFill="1" applyBorder="1" applyAlignment="1">
      <alignment horizontal="right"/>
    </xf>
    <xf numFmtId="0" fontId="64" fillId="0" borderId="0" xfId="12" applyFont="1"/>
    <xf numFmtId="0" fontId="62" fillId="0" borderId="0" xfId="12" applyFont="1" applyAlignment="1">
      <alignment horizontal="left"/>
    </xf>
    <xf numFmtId="4" fontId="60" fillId="0" borderId="0" xfId="12" applyNumberFormat="1" applyFont="1"/>
    <xf numFmtId="44" fontId="60" fillId="0" borderId="11" xfId="13" applyFont="1" applyFill="1" applyBorder="1"/>
    <xf numFmtId="44" fontId="64" fillId="0" borderId="11" xfId="13" applyFont="1" applyFill="1" applyBorder="1" applyAlignment="1">
      <alignment horizontal="left"/>
    </xf>
    <xf numFmtId="0" fontId="62" fillId="0" borderId="11" xfId="12" applyFont="1" applyBorder="1" applyAlignment="1">
      <alignment horizontal="left"/>
    </xf>
    <xf numFmtId="44" fontId="62" fillId="12" borderId="11" xfId="13" applyFont="1" applyFill="1" applyBorder="1" applyAlignment="1">
      <alignment horizontal="right"/>
    </xf>
    <xf numFmtId="0" fontId="62" fillId="0" borderId="11" xfId="12" applyFont="1" applyBorder="1"/>
    <xf numFmtId="44" fontId="64" fillId="0" borderId="0" xfId="13" applyFont="1" applyFill="1" applyAlignment="1">
      <alignment horizontal="left"/>
    </xf>
    <xf numFmtId="3" fontId="64" fillId="0" borderId="0" xfId="12" applyNumberFormat="1" applyFont="1" applyAlignment="1">
      <alignment horizontal="left"/>
    </xf>
    <xf numFmtId="44" fontId="62" fillId="0" borderId="0" xfId="13" applyFont="1" applyFill="1" applyAlignment="1">
      <alignment horizontal="left"/>
    </xf>
    <xf numFmtId="44" fontId="62" fillId="0" borderId="11" xfId="13" applyFont="1" applyBorder="1"/>
    <xf numFmtId="1" fontId="62" fillId="12" borderId="11" xfId="12" applyNumberFormat="1" applyFont="1" applyFill="1" applyBorder="1"/>
    <xf numFmtId="0" fontId="62" fillId="12" borderId="0" xfId="12" applyFont="1" applyFill="1"/>
    <xf numFmtId="3" fontId="62" fillId="12" borderId="11" xfId="12" applyNumberFormat="1" applyFont="1" applyFill="1" applyBorder="1"/>
    <xf numFmtId="0" fontId="62" fillId="12" borderId="11" xfId="12" applyFont="1" applyFill="1" applyBorder="1"/>
    <xf numFmtId="0" fontId="67" fillId="0" borderId="0" xfId="12" applyFont="1"/>
    <xf numFmtId="173" fontId="64" fillId="0" borderId="0" xfId="12" applyNumberFormat="1" applyFont="1"/>
    <xf numFmtId="44" fontId="64" fillId="0" borderId="0" xfId="13" applyFont="1" applyFill="1" applyAlignment="1">
      <alignment horizontal="right"/>
    </xf>
    <xf numFmtId="4" fontId="64" fillId="0" borderId="0" xfId="12" applyNumberFormat="1" applyFont="1" applyAlignment="1">
      <alignment horizontal="right"/>
    </xf>
    <xf numFmtId="44" fontId="62" fillId="0" borderId="0" xfId="13" applyFont="1" applyFill="1" applyAlignment="1">
      <alignment horizontal="right"/>
    </xf>
    <xf numFmtId="44" fontId="62" fillId="0" borderId="0" xfId="12" applyNumberFormat="1" applyFont="1"/>
    <xf numFmtId="44" fontId="64" fillId="0" borderId="0" xfId="12" applyNumberFormat="1" applyFont="1"/>
    <xf numFmtId="3" fontId="64" fillId="0" borderId="0" xfId="12" applyNumberFormat="1" applyFont="1"/>
    <xf numFmtId="173" fontId="68" fillId="0" borderId="0" xfId="12" applyNumberFormat="1" applyFont="1"/>
    <xf numFmtId="173" fontId="69" fillId="0" borderId="0" xfId="12" applyNumberFormat="1" applyFont="1"/>
    <xf numFmtId="0" fontId="62" fillId="0" borderId="11" xfId="13" applyNumberFormat="1" applyFont="1" applyFill="1" applyBorder="1" applyAlignment="1">
      <alignment horizontal="right"/>
    </xf>
    <xf numFmtId="10" fontId="62" fillId="0" borderId="11" xfId="13" applyNumberFormat="1" applyFont="1" applyFill="1" applyBorder="1" applyAlignment="1">
      <alignment horizontal="right"/>
    </xf>
    <xf numFmtId="43" fontId="62" fillId="0" borderId="11" xfId="15" applyFont="1" applyFill="1" applyBorder="1" applyAlignment="1">
      <alignment horizontal="right"/>
    </xf>
    <xf numFmtId="0" fontId="64" fillId="0" borderId="0" xfId="12" applyFont="1" applyAlignment="1">
      <alignment horizontal="left"/>
    </xf>
    <xf numFmtId="44" fontId="64" fillId="0" borderId="0" xfId="13" applyFont="1" applyFill="1"/>
    <xf numFmtId="173" fontId="62" fillId="12" borderId="11" xfId="13" applyNumberFormat="1" applyFont="1" applyFill="1" applyBorder="1" applyAlignment="1">
      <alignment horizontal="right"/>
    </xf>
    <xf numFmtId="2" fontId="62" fillId="12" borderId="11" xfId="13" applyNumberFormat="1" applyFont="1" applyFill="1" applyBorder="1" applyAlignment="1">
      <alignment horizontal="right"/>
    </xf>
    <xf numFmtId="0" fontId="69" fillId="0" borderId="0" xfId="12" applyFont="1"/>
    <xf numFmtId="9" fontId="62" fillId="0" borderId="11" xfId="13" applyNumberFormat="1" applyFont="1" applyFill="1" applyBorder="1" applyAlignment="1">
      <alignment horizontal="right"/>
    </xf>
    <xf numFmtId="0" fontId="62" fillId="0" borderId="0" xfId="12" applyFont="1" applyAlignment="1">
      <alignment horizontal="right"/>
    </xf>
    <xf numFmtId="0" fontId="68" fillId="0" borderId="0" xfId="12" applyFont="1"/>
    <xf numFmtId="0" fontId="67" fillId="14" borderId="53" xfId="12" applyFont="1" applyFill="1" applyBorder="1"/>
    <xf numFmtId="0" fontId="70" fillId="0" borderId="0" xfId="16" applyFont="1"/>
    <xf numFmtId="0" fontId="60" fillId="15" borderId="53" xfId="12" applyFont="1" applyFill="1" applyBorder="1"/>
    <xf numFmtId="0" fontId="71" fillId="0" borderId="0" xfId="12" applyFont="1" applyAlignment="1">
      <alignment horizontal="left" vertical="center" wrapText="1" indent="1" readingOrder="1"/>
    </xf>
    <xf numFmtId="0" fontId="60" fillId="0" borderId="53" xfId="12" applyFont="1" applyBorder="1"/>
    <xf numFmtId="0" fontId="60" fillId="0" borderId="54" xfId="12" applyFont="1" applyBorder="1"/>
    <xf numFmtId="3" fontId="62" fillId="0" borderId="0" xfId="12" applyNumberFormat="1" applyFont="1" applyAlignment="1">
      <alignment horizontal="right"/>
    </xf>
    <xf numFmtId="9" fontId="62" fillId="0" borderId="0" xfId="12" applyNumberFormat="1" applyFont="1" applyAlignment="1">
      <alignment horizontal="right"/>
    </xf>
    <xf numFmtId="4" fontId="64" fillId="0" borderId="0" xfId="12" applyNumberFormat="1" applyFont="1" applyAlignment="1">
      <alignment horizontal="left"/>
    </xf>
    <xf numFmtId="9" fontId="64" fillId="0" borderId="0" xfId="12" applyNumberFormat="1" applyFont="1" applyAlignment="1">
      <alignment horizontal="left"/>
    </xf>
    <xf numFmtId="0" fontId="60" fillId="0" borderId="0" xfId="12" applyFont="1" applyAlignment="1">
      <alignment vertical="center" wrapText="1" readingOrder="1"/>
    </xf>
    <xf numFmtId="0" fontId="73" fillId="0" borderId="0" xfId="17" applyFont="1" applyAlignment="1">
      <alignment vertical="center" wrapText="1" readingOrder="1"/>
    </xf>
    <xf numFmtId="0" fontId="74" fillId="0" borderId="0" xfId="12" applyFont="1" applyAlignment="1">
      <alignment vertical="center" wrapText="1" readingOrder="1"/>
    </xf>
    <xf numFmtId="0" fontId="76" fillId="0" borderId="0" xfId="18" applyFont="1"/>
    <xf numFmtId="168" fontId="76" fillId="0" borderId="0" xfId="13" applyNumberFormat="1" applyFont="1" applyBorder="1" applyAlignment="1">
      <alignment horizontal="left"/>
    </xf>
    <xf numFmtId="165" fontId="76" fillId="0" borderId="0" xfId="14" applyNumberFormat="1" applyFont="1" applyFill="1" applyBorder="1"/>
    <xf numFmtId="0" fontId="9" fillId="0" borderId="0" xfId="6" applyFont="1"/>
    <xf numFmtId="0" fontId="77" fillId="0" borderId="0" xfId="18" applyFont="1"/>
    <xf numFmtId="37" fontId="77" fillId="0" borderId="0" xfId="18" applyNumberFormat="1" applyFont="1"/>
    <xf numFmtId="168" fontId="77" fillId="0" borderId="0" xfId="18" applyNumberFormat="1" applyFont="1"/>
    <xf numFmtId="165" fontId="77" fillId="0" borderId="0" xfId="14" applyNumberFormat="1" applyFont="1" applyFill="1" applyBorder="1"/>
    <xf numFmtId="0" fontId="8" fillId="0" borderId="0" xfId="6"/>
    <xf numFmtId="168" fontId="77" fillId="0" borderId="0" xfId="13" applyNumberFormat="1" applyFont="1" applyBorder="1" applyAlignment="1">
      <alignment horizontal="left"/>
    </xf>
    <xf numFmtId="0" fontId="78" fillId="16" borderId="55" xfId="5" applyFont="1" applyFill="1" applyBorder="1"/>
    <xf numFmtId="169" fontId="78" fillId="16" borderId="55" xfId="5" applyNumberFormat="1" applyFont="1" applyFill="1" applyBorder="1"/>
    <xf numFmtId="169" fontId="78" fillId="16" borderId="55" xfId="5" applyNumberFormat="1" applyFont="1" applyFill="1" applyBorder="1" applyAlignment="1">
      <alignment horizontal="center"/>
    </xf>
    <xf numFmtId="0" fontId="78" fillId="17" borderId="55" xfId="5" applyFont="1" applyFill="1" applyBorder="1" applyAlignment="1">
      <alignment horizontal="center"/>
    </xf>
    <xf numFmtId="0" fontId="78" fillId="16" borderId="55" xfId="5" applyFont="1" applyFill="1" applyBorder="1" applyAlignment="1">
      <alignment horizontal="center"/>
    </xf>
    <xf numFmtId="0" fontId="78" fillId="17" borderId="56" xfId="5" applyFont="1" applyFill="1" applyBorder="1" applyAlignment="1">
      <alignment horizontal="center"/>
    </xf>
    <xf numFmtId="10" fontId="78" fillId="17" borderId="11" xfId="5" applyNumberFormat="1" applyFont="1" applyFill="1" applyBorder="1" applyAlignment="1">
      <alignment horizontal="center"/>
    </xf>
    <xf numFmtId="44" fontId="78" fillId="0" borderId="11" xfId="5" applyNumberFormat="1" applyFont="1" applyBorder="1" applyAlignment="1">
      <alignment horizontal="center"/>
    </xf>
    <xf numFmtId="44" fontId="78" fillId="0" borderId="57" xfId="5" applyNumberFormat="1" applyFont="1" applyBorder="1" applyAlignment="1">
      <alignment horizontal="center"/>
    </xf>
    <xf numFmtId="44" fontId="78" fillId="0" borderId="58" xfId="5" applyNumberFormat="1" applyFont="1" applyBorder="1" applyAlignment="1">
      <alignment horizontal="center"/>
    </xf>
    <xf numFmtId="0" fontId="78" fillId="16" borderId="58" xfId="5" applyFont="1" applyFill="1" applyBorder="1" applyAlignment="1">
      <alignment horizontal="center"/>
    </xf>
    <xf numFmtId="9" fontId="78" fillId="16" borderId="58" xfId="5" applyNumberFormat="1" applyFont="1" applyFill="1" applyBorder="1" applyAlignment="1">
      <alignment horizontal="center"/>
    </xf>
    <xf numFmtId="0" fontId="49" fillId="0" borderId="0" xfId="5"/>
    <xf numFmtId="174" fontId="79" fillId="16" borderId="59" xfId="5" applyNumberFormat="1" applyFont="1" applyFill="1" applyBorder="1"/>
    <xf numFmtId="0" fontId="79" fillId="16" borderId="59" xfId="5" applyFont="1" applyFill="1" applyBorder="1"/>
    <xf numFmtId="1" fontId="79" fillId="16" borderId="59" xfId="5" applyNumberFormat="1" applyFont="1" applyFill="1" applyBorder="1" applyAlignment="1">
      <alignment horizontal="right"/>
    </xf>
    <xf numFmtId="169" fontId="79" fillId="16" borderId="59" xfId="5" applyNumberFormat="1" applyFont="1" applyFill="1" applyBorder="1"/>
    <xf numFmtId="169" fontId="79" fillId="17" borderId="59" xfId="5" applyNumberFormat="1" applyFont="1" applyFill="1" applyBorder="1"/>
    <xf numFmtId="3" fontId="79" fillId="16" borderId="59" xfId="5" applyNumberFormat="1" applyFont="1" applyFill="1" applyBorder="1"/>
    <xf numFmtId="4" fontId="79" fillId="16" borderId="59" xfId="5" applyNumberFormat="1" applyFont="1" applyFill="1" applyBorder="1"/>
    <xf numFmtId="9" fontId="79" fillId="16" borderId="60" xfId="5" applyNumberFormat="1" applyFont="1" applyFill="1" applyBorder="1" applyAlignment="1">
      <alignment horizontal="right"/>
    </xf>
    <xf numFmtId="10" fontId="79" fillId="16" borderId="11" xfId="5" applyNumberFormat="1" applyFont="1" applyFill="1" applyBorder="1" applyAlignment="1">
      <alignment horizontal="right"/>
    </xf>
    <xf numFmtId="44" fontId="79" fillId="16" borderId="11" xfId="5" applyNumberFormat="1" applyFont="1" applyFill="1" applyBorder="1"/>
    <xf numFmtId="44" fontId="79" fillId="16" borderId="61" xfId="5" applyNumberFormat="1" applyFont="1" applyFill="1" applyBorder="1"/>
    <xf numFmtId="44" fontId="79" fillId="18" borderId="59" xfId="5" applyNumberFormat="1" applyFont="1" applyFill="1" applyBorder="1"/>
    <xf numFmtId="9" fontId="79" fillId="18" borderId="59" xfId="5" applyNumberFormat="1" applyFont="1" applyFill="1" applyBorder="1"/>
    <xf numFmtId="10" fontId="79" fillId="18" borderId="59" xfId="5" applyNumberFormat="1" applyFont="1" applyFill="1" applyBorder="1"/>
    <xf numFmtId="0" fontId="79" fillId="0" borderId="0" xfId="5" applyFont="1"/>
    <xf numFmtId="169" fontId="79" fillId="0" borderId="0" xfId="5" applyNumberFormat="1" applyFont="1"/>
    <xf numFmtId="10" fontId="79" fillId="0" borderId="0" xfId="5" applyNumberFormat="1" applyFont="1"/>
    <xf numFmtId="44" fontId="79" fillId="0" borderId="0" xfId="5" applyNumberFormat="1" applyFont="1" applyAlignment="1">
      <alignment wrapText="1"/>
    </xf>
    <xf numFmtId="44" fontId="79" fillId="0" borderId="0" xfId="5" applyNumberFormat="1" applyFont="1"/>
    <xf numFmtId="9" fontId="79" fillId="0" borderId="0" xfId="5" applyNumberFormat="1" applyFont="1"/>
    <xf numFmtId="10" fontId="49" fillId="0" borderId="0" xfId="5" applyNumberFormat="1"/>
    <xf numFmtId="0" fontId="70" fillId="0" borderId="62" xfId="16" applyFont="1" applyBorder="1" applyAlignment="1">
      <alignment horizontal="left"/>
    </xf>
    <xf numFmtId="44" fontId="70" fillId="0" borderId="62" xfId="13" applyFont="1" applyFill="1" applyBorder="1"/>
    <xf numFmtId="165" fontId="70" fillId="0" borderId="62" xfId="14" applyNumberFormat="1" applyFont="1" applyBorder="1"/>
    <xf numFmtId="165" fontId="70" fillId="0" borderId="0" xfId="14" applyNumberFormat="1" applyFont="1" applyBorder="1"/>
    <xf numFmtId="0" fontId="1" fillId="0" borderId="0" xfId="16"/>
    <xf numFmtId="44" fontId="1" fillId="0" borderId="0" xfId="13" applyFont="1" applyBorder="1"/>
    <xf numFmtId="0" fontId="1" fillId="0" borderId="0" xfId="16" applyAlignment="1">
      <alignment wrapText="1"/>
    </xf>
    <xf numFmtId="0" fontId="1" fillId="12" borderId="0" xfId="16" applyFill="1" applyAlignment="1">
      <alignment horizontal="left"/>
    </xf>
    <xf numFmtId="0" fontId="1" fillId="4" borderId="0" xfId="16" applyFill="1" applyAlignment="1">
      <alignment horizontal="left"/>
    </xf>
    <xf numFmtId="37" fontId="1" fillId="0" borderId="0" xfId="16" applyNumberFormat="1" applyAlignment="1">
      <alignment horizontal="left"/>
    </xf>
    <xf numFmtId="0" fontId="1" fillId="0" borderId="0" xfId="16" applyAlignment="1">
      <alignment horizontal="left"/>
    </xf>
    <xf numFmtId="44" fontId="1" fillId="0" borderId="0" xfId="13" applyFont="1" applyFill="1" applyBorder="1"/>
    <xf numFmtId="165" fontId="1" fillId="0" borderId="0" xfId="14" applyNumberFormat="1" applyFont="1" applyBorder="1"/>
    <xf numFmtId="44" fontId="1" fillId="12" borderId="0" xfId="13" applyFont="1" applyFill="1" applyBorder="1"/>
    <xf numFmtId="37" fontId="1" fillId="4" borderId="0" xfId="16" applyNumberFormat="1" applyFill="1" applyAlignment="1">
      <alignment horizontal="left"/>
    </xf>
    <xf numFmtId="44" fontId="1" fillId="0" borderId="0" xfId="16" applyNumberFormat="1" applyAlignment="1">
      <alignment wrapText="1"/>
    </xf>
    <xf numFmtId="10" fontId="1" fillId="0" borderId="0" xfId="16" applyNumberFormat="1"/>
    <xf numFmtId="10" fontId="53" fillId="0" borderId="0" xfId="7" applyNumberFormat="1" applyFont="1" applyAlignment="1">
      <alignment horizontal="left"/>
    </xf>
    <xf numFmtId="0" fontId="56" fillId="0" borderId="0" xfId="6" applyFont="1"/>
    <xf numFmtId="9" fontId="1" fillId="0" borderId="0" xfId="9" applyNumberFormat="1"/>
    <xf numFmtId="9" fontId="1" fillId="0" borderId="0" xfId="9" applyNumberFormat="1" applyAlignment="1">
      <alignment horizontal="center"/>
    </xf>
    <xf numFmtId="10" fontId="56" fillId="0" borderId="0" xfId="6" applyNumberFormat="1" applyFont="1"/>
    <xf numFmtId="3" fontId="1" fillId="0" borderId="0" xfId="9" applyNumberFormat="1"/>
    <xf numFmtId="37" fontId="57" fillId="0" borderId="0" xfId="0" applyFont="1"/>
    <xf numFmtId="37" fontId="58" fillId="0" borderId="0" xfId="0" applyFont="1"/>
    <xf numFmtId="9" fontId="53" fillId="0" borderId="0" xfId="10" quotePrefix="1" applyFont="1" applyFill="1"/>
    <xf numFmtId="1" fontId="53" fillId="0" borderId="0" xfId="7" applyNumberFormat="1" applyFont="1" applyAlignment="1">
      <alignment horizontal="left"/>
    </xf>
    <xf numFmtId="10" fontId="53" fillId="0" borderId="0" xfId="7" applyNumberFormat="1" applyFont="1"/>
    <xf numFmtId="0" fontId="48" fillId="0" borderId="0" xfId="16" applyFont="1"/>
    <xf numFmtId="44" fontId="48" fillId="0" borderId="0" xfId="13" applyFont="1" applyFill="1" applyBorder="1"/>
    <xf numFmtId="44" fontId="1" fillId="0" borderId="0" xfId="16" applyNumberFormat="1"/>
    <xf numFmtId="2" fontId="48" fillId="0" borderId="0" xfId="13" applyNumberFormat="1" applyFont="1" applyFill="1" applyBorder="1"/>
    <xf numFmtId="0" fontId="60" fillId="0" borderId="0" xfId="12" applyFont="1" applyAlignment="1">
      <alignment horizontal="center"/>
    </xf>
    <xf numFmtId="0" fontId="61" fillId="0" borderId="0" xfId="12" applyFont="1"/>
    <xf numFmtId="0" fontId="61" fillId="0" borderId="0" xfId="12" applyFont="1" applyAlignment="1">
      <alignment horizontal="left"/>
    </xf>
    <xf numFmtId="173" fontId="62" fillId="0" borderId="11" xfId="12" applyNumberFormat="1" applyFont="1" applyBorder="1" applyAlignment="1">
      <alignment horizontal="right"/>
    </xf>
    <xf numFmtId="173" fontId="62" fillId="0" borderId="0" xfId="12" applyNumberFormat="1" applyFont="1" applyAlignment="1">
      <alignment horizontal="right"/>
    </xf>
    <xf numFmtId="0" fontId="63" fillId="0" borderId="11" xfId="12" applyFont="1" applyBorder="1"/>
    <xf numFmtId="4" fontId="62" fillId="0" borderId="11" xfId="12" applyNumberFormat="1" applyFont="1" applyBorder="1" applyAlignment="1">
      <alignment horizontal="right"/>
    </xf>
    <xf numFmtId="9" fontId="62" fillId="0" borderId="11" xfId="14" applyFont="1" applyFill="1" applyBorder="1" applyAlignment="1">
      <alignment horizontal="right"/>
    </xf>
    <xf numFmtId="4" fontId="60" fillId="0" borderId="11" xfId="12" applyNumberFormat="1" applyFont="1" applyBorder="1"/>
    <xf numFmtId="173" fontId="66" fillId="0" borderId="11" xfId="12" applyNumberFormat="1" applyFont="1" applyBorder="1"/>
    <xf numFmtId="0" fontId="60" fillId="0" borderId="11" xfId="12" applyFont="1" applyBorder="1"/>
    <xf numFmtId="0" fontId="64" fillId="0" borderId="11" xfId="12" applyFont="1" applyBorder="1"/>
    <xf numFmtId="0" fontId="63" fillId="0" borderId="0" xfId="12" applyFont="1"/>
    <xf numFmtId="172" fontId="26" fillId="0" borderId="0" xfId="3" applyNumberFormat="1" applyFont="1" applyFill="1" applyProtection="1"/>
    <xf numFmtId="44" fontId="26" fillId="4" borderId="0" xfId="3" applyFont="1" applyFill="1" applyProtection="1">
      <protection locked="0"/>
    </xf>
    <xf numFmtId="9" fontId="11" fillId="0" borderId="66" xfId="1" applyFont="1" applyFill="1" applyBorder="1" applyProtection="1"/>
    <xf numFmtId="168" fontId="11" fillId="0" borderId="3" xfId="3" applyNumberFormat="1" applyFont="1" applyFill="1" applyBorder="1" applyAlignment="1" applyProtection="1">
      <alignment wrapText="1"/>
    </xf>
    <xf numFmtId="0" fontId="62" fillId="0" borderId="11" xfId="12" applyFont="1" applyBorder="1" applyAlignment="1">
      <alignment horizontal="left"/>
    </xf>
    <xf numFmtId="0" fontId="62" fillId="0" borderId="12" xfId="12" applyFont="1" applyBorder="1" applyAlignment="1">
      <alignment horizontal="center"/>
    </xf>
    <xf numFmtId="0" fontId="62" fillId="0" borderId="25" xfId="12" applyFont="1" applyBorder="1" applyAlignment="1">
      <alignment horizontal="center"/>
    </xf>
    <xf numFmtId="0" fontId="62" fillId="0" borderId="13" xfId="12" applyFont="1" applyBorder="1" applyAlignment="1">
      <alignment horizontal="center"/>
    </xf>
    <xf numFmtId="0" fontId="62" fillId="0" borderId="11" xfId="12" applyFont="1" applyBorder="1" applyAlignment="1">
      <alignment horizontal="center"/>
    </xf>
    <xf numFmtId="0" fontId="60" fillId="13" borderId="11" xfId="12" applyFont="1" applyFill="1" applyBorder="1" applyAlignment="1">
      <alignment horizontal="center"/>
    </xf>
    <xf numFmtId="0" fontId="60" fillId="0" borderId="11" xfId="12" applyFont="1" applyBorder="1" applyAlignment="1">
      <alignment horizontal="center"/>
    </xf>
    <xf numFmtId="0" fontId="65" fillId="0" borderId="11" xfId="12" applyFont="1" applyBorder="1" applyAlignment="1">
      <alignment horizontal="left"/>
    </xf>
    <xf numFmtId="37" fontId="32" fillId="9" borderId="0" xfId="0" applyFont="1" applyFill="1" applyAlignment="1" applyProtection="1">
      <alignment horizontal="center"/>
      <protection locked="0"/>
    </xf>
    <xf numFmtId="37" fontId="11" fillId="0" borderId="0" xfId="0" applyFont="1" applyAlignment="1" applyProtection="1">
      <alignment horizontal="left"/>
      <protection locked="0"/>
    </xf>
    <xf numFmtId="37" fontId="11" fillId="0" borderId="0" xfId="0" applyFont="1" applyProtection="1">
      <protection locked="0"/>
    </xf>
    <xf numFmtId="37" fontId="11" fillId="0" borderId="0" xfId="0" applyFont="1" applyAlignment="1" applyProtection="1">
      <alignment wrapText="1"/>
      <protection locked="0"/>
    </xf>
    <xf numFmtId="37" fontId="14" fillId="0" borderId="0" xfId="0" applyFont="1" applyAlignment="1" applyProtection="1">
      <alignment horizontal="left" wrapText="1"/>
      <protection locked="0"/>
    </xf>
    <xf numFmtId="37" fontId="11" fillId="0" borderId="3" xfId="0" applyFont="1" applyBorder="1" applyAlignment="1" applyProtection="1">
      <alignment horizontal="left"/>
      <protection locked="0"/>
    </xf>
    <xf numFmtId="37" fontId="11" fillId="6" borderId="0" xfId="0" applyFont="1" applyFill="1" applyAlignment="1" applyProtection="1">
      <alignment horizontal="center"/>
      <protection locked="0"/>
    </xf>
    <xf numFmtId="10" fontId="26" fillId="0" borderId="0" xfId="1" applyNumberFormat="1" applyFont="1" applyBorder="1" applyAlignment="1">
      <alignment horizontal="right" vertical="center"/>
    </xf>
    <xf numFmtId="10" fontId="26" fillId="0" borderId="43" xfId="1" applyNumberFormat="1" applyFont="1" applyBorder="1" applyAlignment="1">
      <alignment horizontal="right" vertical="center"/>
    </xf>
    <xf numFmtId="37" fontId="38" fillId="4" borderId="42" xfId="0" applyFont="1" applyFill="1" applyBorder="1" applyAlignment="1">
      <alignment vertical="center" wrapText="1"/>
    </xf>
    <xf numFmtId="37" fontId="38" fillId="4" borderId="50" xfId="0" applyFont="1" applyFill="1" applyBorder="1" applyAlignment="1">
      <alignment vertical="center" wrapText="1"/>
    </xf>
    <xf numFmtId="10" fontId="26" fillId="0" borderId="0" xfId="1" applyNumberFormat="1" applyFont="1" applyAlignment="1">
      <alignment horizontal="right" vertical="center"/>
    </xf>
    <xf numFmtId="37" fontId="38" fillId="0" borderId="46" xfId="0" applyFont="1" applyBorder="1" applyAlignment="1">
      <alignment horizontal="left" vertical="center" wrapText="1"/>
    </xf>
    <xf numFmtId="37" fontId="38" fillId="0" borderId="42" xfId="0" applyFont="1" applyBorder="1" applyAlignment="1">
      <alignment horizontal="left" vertical="center" wrapText="1"/>
    </xf>
    <xf numFmtId="172" fontId="26" fillId="0" borderId="1" xfId="0" applyNumberFormat="1" applyFont="1" applyBorder="1" applyAlignment="1">
      <alignment horizontal="right" vertical="center"/>
    </xf>
    <xf numFmtId="172" fontId="26" fillId="0" borderId="0" xfId="0" applyNumberFormat="1" applyFont="1" applyAlignment="1">
      <alignment horizontal="right" vertical="center"/>
    </xf>
    <xf numFmtId="10" fontId="39" fillId="0" borderId="1" xfId="1" applyNumberFormat="1" applyFont="1" applyFill="1" applyBorder="1" applyAlignment="1">
      <alignment horizontal="left" vertical="center" wrapText="1"/>
    </xf>
    <xf numFmtId="10" fontId="39" fillId="0" borderId="0" xfId="1" applyNumberFormat="1" applyFont="1" applyFill="1" applyBorder="1" applyAlignment="1">
      <alignment horizontal="left" vertical="center" wrapText="1"/>
    </xf>
    <xf numFmtId="10" fontId="26" fillId="0" borderId="1" xfId="1" applyNumberFormat="1" applyFont="1" applyFill="1" applyBorder="1" applyAlignment="1">
      <alignment horizontal="left" vertical="center"/>
    </xf>
    <xf numFmtId="10" fontId="26" fillId="0" borderId="0" xfId="1" applyNumberFormat="1" applyFont="1" applyFill="1" applyBorder="1" applyAlignment="1">
      <alignment horizontal="left" vertical="center"/>
    </xf>
    <xf numFmtId="37" fontId="39" fillId="0" borderId="1" xfId="0" applyFont="1" applyBorder="1" applyAlignment="1">
      <alignment horizontal="left" vertical="center"/>
    </xf>
    <xf numFmtId="37" fontId="39" fillId="0" borderId="0" xfId="0" applyFont="1" applyAlignment="1">
      <alignment horizontal="left" vertical="center"/>
    </xf>
    <xf numFmtId="0" fontId="26" fillId="0" borderId="47" xfId="1" applyNumberFormat="1" applyFont="1" applyFill="1" applyBorder="1" applyAlignment="1">
      <alignment horizontal="left" vertical="center"/>
    </xf>
    <xf numFmtId="0" fontId="26" fillId="0" borderId="43" xfId="1" applyNumberFormat="1" applyFont="1" applyFill="1" applyBorder="1" applyAlignment="1">
      <alignment horizontal="left" vertical="center"/>
    </xf>
    <xf numFmtId="172" fontId="26" fillId="0" borderId="25" xfId="3" applyNumberFormat="1" applyFont="1" applyFill="1" applyBorder="1" applyAlignment="1">
      <alignment horizontal="right"/>
    </xf>
    <xf numFmtId="172" fontId="26" fillId="0" borderId="48" xfId="3" applyNumberFormat="1" applyFont="1" applyFill="1" applyBorder="1" applyAlignment="1">
      <alignment horizontal="right"/>
    </xf>
    <xf numFmtId="37" fontId="26" fillId="4" borderId="1" xfId="0" applyFont="1" applyFill="1" applyBorder="1" applyAlignment="1">
      <alignment horizontal="right" vertical="center" wrapText="1"/>
    </xf>
    <xf numFmtId="37" fontId="26" fillId="4" borderId="47" xfId="0" applyFont="1" applyFill="1" applyBorder="1" applyAlignment="1">
      <alignment horizontal="right" vertical="center" wrapText="1"/>
    </xf>
    <xf numFmtId="10" fontId="26" fillId="4" borderId="0" xfId="1" applyNumberFormat="1" applyFont="1" applyFill="1" applyBorder="1" applyAlignment="1">
      <alignment horizontal="right" vertical="center"/>
    </xf>
    <xf numFmtId="10" fontId="26" fillId="4" borderId="43" xfId="1" applyNumberFormat="1" applyFont="1" applyFill="1" applyBorder="1" applyAlignment="1">
      <alignment horizontal="right" vertical="center"/>
    </xf>
    <xf numFmtId="39" fontId="26" fillId="4" borderId="0" xfId="0" applyNumberFormat="1" applyFont="1" applyFill="1" applyAlignment="1">
      <alignment horizontal="right" vertical="center"/>
    </xf>
    <xf numFmtId="39" fontId="26" fillId="4" borderId="43" xfId="0" applyNumberFormat="1" applyFont="1" applyFill="1" applyBorder="1" applyAlignment="1">
      <alignment horizontal="right" vertical="center"/>
    </xf>
    <xf numFmtId="37" fontId="38" fillId="4" borderId="42" xfId="0" applyFont="1" applyFill="1" applyBorder="1" applyAlignment="1">
      <alignment horizontal="left" vertical="center" wrapText="1"/>
    </xf>
    <xf numFmtId="2" fontId="26" fillId="4" borderId="7" xfId="1" applyNumberFormat="1" applyFont="1" applyFill="1" applyBorder="1" applyAlignment="1">
      <alignment horizontal="right" vertical="center"/>
    </xf>
    <xf numFmtId="37" fontId="38" fillId="4" borderId="0" xfId="0" applyFont="1" applyFill="1" applyAlignment="1">
      <alignment horizontal="left" vertical="center" wrapText="1"/>
    </xf>
    <xf numFmtId="37" fontId="38" fillId="0" borderId="44" xfId="0" applyFont="1" applyBorder="1" applyAlignment="1">
      <alignment horizontal="left" vertical="center" wrapText="1"/>
    </xf>
    <xf numFmtId="37" fontId="26" fillId="0" borderId="7" xfId="0" applyFont="1" applyBorder="1" applyAlignment="1" applyProtection="1">
      <alignment horizontal="right" vertical="center"/>
      <protection locked="0"/>
    </xf>
    <xf numFmtId="37" fontId="26" fillId="0" borderId="8" xfId="0" applyFont="1" applyBorder="1" applyAlignment="1" applyProtection="1">
      <alignment horizontal="right" vertical="center"/>
      <protection locked="0"/>
    </xf>
    <xf numFmtId="37" fontId="26" fillId="7" borderId="0" xfId="0" applyFont="1" applyFill="1" applyAlignment="1" applyProtection="1">
      <alignment horizontal="right" vertical="center"/>
      <protection locked="0"/>
    </xf>
    <xf numFmtId="37" fontId="26" fillId="7" borderId="43" xfId="0" applyFont="1" applyFill="1" applyBorder="1" applyAlignment="1" applyProtection="1">
      <alignment horizontal="right" vertical="center"/>
      <protection locked="0"/>
    </xf>
    <xf numFmtId="37" fontId="26" fillId="4" borderId="0" xfId="0" applyFont="1" applyFill="1" applyAlignment="1">
      <alignment horizontal="right"/>
    </xf>
    <xf numFmtId="37" fontId="26" fillId="4" borderId="43" xfId="0" applyFont="1" applyFill="1" applyBorder="1" applyAlignment="1">
      <alignment horizontal="right"/>
    </xf>
    <xf numFmtId="37" fontId="26" fillId="4" borderId="3" xfId="0" applyFont="1" applyFill="1" applyBorder="1" applyAlignment="1">
      <alignment horizontal="right" vertical="center" wrapText="1"/>
    </xf>
    <xf numFmtId="37" fontId="26" fillId="4" borderId="45" xfId="0" applyFont="1" applyFill="1" applyBorder="1" applyAlignment="1">
      <alignment horizontal="right" vertical="center" wrapText="1"/>
    </xf>
    <xf numFmtId="37" fontId="27" fillId="0" borderId="43" xfId="0" applyFont="1" applyBorder="1" applyAlignment="1">
      <alignment horizontal="center"/>
    </xf>
    <xf numFmtId="37" fontId="26" fillId="4" borderId="0" xfId="0" applyFont="1" applyFill="1" applyAlignment="1">
      <alignment horizontal="right" vertical="center"/>
    </xf>
    <xf numFmtId="37" fontId="26" fillId="4" borderId="43" xfId="0" applyFont="1" applyFill="1" applyBorder="1" applyAlignment="1">
      <alignment horizontal="right" vertical="center"/>
    </xf>
    <xf numFmtId="37" fontId="26" fillId="4" borderId="3" xfId="0" applyFont="1" applyFill="1" applyBorder="1" applyAlignment="1">
      <alignment horizontal="right" vertical="center"/>
    </xf>
    <xf numFmtId="37" fontId="26" fillId="4" borderId="45" xfId="0" applyFont="1" applyFill="1" applyBorder="1" applyAlignment="1">
      <alignment horizontal="right" vertical="center"/>
    </xf>
    <xf numFmtId="37" fontId="26" fillId="0" borderId="17" xfId="0" applyFont="1" applyBorder="1" applyAlignment="1" applyProtection="1">
      <alignment horizontal="right" vertical="center"/>
      <protection locked="0"/>
    </xf>
    <xf numFmtId="37" fontId="26" fillId="0" borderId="1" xfId="0" applyFont="1" applyBorder="1" applyAlignment="1" applyProtection="1">
      <alignment horizontal="right" vertical="center"/>
      <protection locked="0"/>
    </xf>
    <xf numFmtId="37" fontId="26" fillId="0" borderId="47" xfId="0" applyFont="1" applyBorder="1" applyAlignment="1" applyProtection="1">
      <alignment horizontal="right" vertical="center"/>
      <protection locked="0"/>
    </xf>
    <xf numFmtId="14" fontId="26" fillId="4" borderId="39" xfId="0" applyNumberFormat="1" applyFont="1" applyFill="1" applyBorder="1" applyAlignment="1">
      <alignment vertical="center" wrapText="1"/>
    </xf>
    <xf numFmtId="14" fontId="26" fillId="4" borderId="41" xfId="0" applyNumberFormat="1" applyFont="1" applyFill="1" applyBorder="1" applyAlignment="1">
      <alignment vertical="center" wrapText="1"/>
    </xf>
    <xf numFmtId="37" fontId="38" fillId="4" borderId="44" xfId="0" applyFont="1" applyFill="1" applyBorder="1" applyAlignment="1">
      <alignment horizontal="left" vertical="center" wrapText="1"/>
    </xf>
    <xf numFmtId="37" fontId="26" fillId="4" borderId="0" xfId="0" applyFont="1" applyFill="1" applyAlignment="1" applyProtection="1">
      <alignment horizontal="left" vertical="center" wrapText="1"/>
      <protection locked="0"/>
    </xf>
    <xf numFmtId="37" fontId="26" fillId="4" borderId="3" xfId="0" applyFont="1" applyFill="1" applyBorder="1" applyAlignment="1" applyProtection="1">
      <alignment horizontal="left" vertical="center" wrapText="1"/>
      <protection locked="0"/>
    </xf>
    <xf numFmtId="37" fontId="26" fillId="4" borderId="3" xfId="0" applyFont="1" applyFill="1" applyBorder="1" applyAlignment="1">
      <alignment horizontal="right"/>
    </xf>
    <xf numFmtId="37" fontId="26" fillId="4" borderId="45" xfId="0" applyFont="1" applyFill="1" applyBorder="1" applyAlignment="1">
      <alignment horizontal="right"/>
    </xf>
    <xf numFmtId="37" fontId="26" fillId="0" borderId="7" xfId="0" applyFont="1" applyBorder="1" applyAlignment="1" applyProtection="1">
      <alignment horizontal="right" vertical="center" wrapText="1"/>
      <protection locked="0"/>
    </xf>
    <xf numFmtId="37" fontId="38" fillId="0" borderId="5" xfId="0" applyFont="1" applyBorder="1" applyAlignment="1">
      <alignment horizontal="left" vertical="center" wrapText="1"/>
    </xf>
    <xf numFmtId="37" fontId="27" fillId="0" borderId="0" xfId="0" applyFont="1" applyAlignment="1">
      <alignment horizontal="center"/>
    </xf>
    <xf numFmtId="37" fontId="26" fillId="0" borderId="0" xfId="0" applyFont="1" applyAlignment="1" applyProtection="1">
      <alignment wrapText="1"/>
    </xf>
    <xf numFmtId="37" fontId="0" fillId="0" borderId="0" xfId="0" applyProtection="1"/>
    <xf numFmtId="37" fontId="45" fillId="0" borderId="0" xfId="0" applyFont="1" applyAlignment="1" applyProtection="1">
      <alignment wrapText="1"/>
    </xf>
    <xf numFmtId="37" fontId="25" fillId="0" borderId="0" xfId="0" applyFont="1" applyAlignment="1" applyProtection="1">
      <alignment wrapText="1"/>
    </xf>
    <xf numFmtId="37" fontId="27" fillId="0" borderId="0" xfId="0" applyFont="1" applyAlignment="1" applyProtection="1">
      <alignment wrapText="1"/>
    </xf>
    <xf numFmtId="37" fontId="26" fillId="0" borderId="0" xfId="0" applyFont="1" applyProtection="1"/>
    <xf numFmtId="14" fontId="11" fillId="0" borderId="0" xfId="0" applyNumberFormat="1" applyFont="1" applyProtection="1"/>
    <xf numFmtId="37" fontId="19" fillId="0" borderId="3" xfId="0" applyFont="1" applyBorder="1" applyProtection="1"/>
    <xf numFmtId="14" fontId="20" fillId="0" borderId="3" xfId="0" applyNumberFormat="1" applyFont="1" applyBorder="1" applyProtection="1"/>
    <xf numFmtId="37" fontId="11" fillId="0" borderId="0" xfId="0" applyFont="1" applyProtection="1"/>
    <xf numFmtId="37" fontId="23" fillId="0" borderId="0" xfId="0" applyFont="1" applyAlignment="1" applyProtection="1">
      <alignment horizontal="left"/>
    </xf>
    <xf numFmtId="37" fontId="20" fillId="9" borderId="0" xfId="0" applyFont="1" applyFill="1" applyAlignment="1" applyProtection="1">
      <alignment horizontal="left"/>
    </xf>
    <xf numFmtId="10" fontId="11" fillId="0" borderId="0" xfId="0" applyNumberFormat="1" applyFont="1" applyProtection="1"/>
    <xf numFmtId="37" fontId="20" fillId="9" borderId="0" xfId="0" applyFont="1" applyFill="1" applyAlignment="1" applyProtection="1">
      <alignment horizontal="right"/>
    </xf>
    <xf numFmtId="37" fontId="11" fillId="9" borderId="0" xfId="0" applyFont="1" applyFill="1" applyProtection="1"/>
    <xf numFmtId="37" fontId="20" fillId="0" borderId="0" xfId="0" applyFont="1" applyAlignment="1" applyProtection="1">
      <alignment horizontal="left"/>
    </xf>
    <xf numFmtId="37" fontId="11" fillId="0" borderId="0" xfId="0" applyFont="1" applyAlignment="1" applyProtection="1">
      <alignment horizontal="right"/>
    </xf>
    <xf numFmtId="37" fontId="23" fillId="0" borderId="0" xfId="0" applyFont="1" applyAlignment="1" applyProtection="1">
      <alignment horizontal="center"/>
    </xf>
    <xf numFmtId="37" fontId="11" fillId="0" borderId="0" xfId="0" applyFont="1" applyAlignment="1" applyProtection="1">
      <alignment horizontal="fill"/>
    </xf>
    <xf numFmtId="37" fontId="23" fillId="0" borderId="63" xfId="0" applyFont="1" applyBorder="1" applyAlignment="1" applyProtection="1">
      <alignment horizontal="left"/>
    </xf>
    <xf numFmtId="37" fontId="11" fillId="0" borderId="64" xfId="0" applyFont="1" applyBorder="1" applyProtection="1"/>
    <xf numFmtId="37" fontId="11" fillId="0" borderId="65" xfId="0" applyFont="1" applyBorder="1" applyProtection="1"/>
    <xf numFmtId="37" fontId="11" fillId="0" borderId="67" xfId="0" applyFont="1" applyBorder="1" applyProtection="1"/>
    <xf numFmtId="37" fontId="20" fillId="0" borderId="66" xfId="0" applyFont="1" applyBorder="1" applyAlignment="1" applyProtection="1">
      <alignment horizontal="left"/>
    </xf>
    <xf numFmtId="37" fontId="20" fillId="0" borderId="60" xfId="0" applyFont="1" applyBorder="1" applyAlignment="1" applyProtection="1">
      <alignment horizontal="left"/>
    </xf>
    <xf numFmtId="10" fontId="11" fillId="0" borderId="68" xfId="0" applyNumberFormat="1" applyFont="1" applyBorder="1" applyProtection="1"/>
    <xf numFmtId="10" fontId="11" fillId="0" borderId="61" xfId="0" applyNumberFormat="1" applyFont="1" applyBorder="1" applyProtection="1"/>
    <xf numFmtId="37" fontId="15" fillId="0" borderId="28" xfId="0" applyFont="1" applyBorder="1" applyProtection="1"/>
    <xf numFmtId="37" fontId="15" fillId="0" borderId="16" xfId="0" applyFont="1" applyBorder="1" applyProtection="1"/>
    <xf numFmtId="37" fontId="8" fillId="0" borderId="16" xfId="0" applyFont="1" applyBorder="1" applyProtection="1"/>
    <xf numFmtId="37" fontId="8" fillId="0" borderId="28" xfId="0" applyFont="1" applyBorder="1" applyProtection="1"/>
    <xf numFmtId="37" fontId="16" fillId="0" borderId="28" xfId="0" applyFont="1" applyBorder="1" applyAlignment="1" applyProtection="1">
      <alignment horizontal="right"/>
    </xf>
    <xf numFmtId="37" fontId="8" fillId="0" borderId="0" xfId="0" applyFont="1" applyProtection="1"/>
    <xf numFmtId="37" fontId="15" fillId="0" borderId="0" xfId="0" applyFont="1" applyProtection="1"/>
    <xf numFmtId="37" fontId="16" fillId="0" borderId="0" xfId="0" applyFont="1" applyProtection="1"/>
    <xf numFmtId="37" fontId="14" fillId="0" borderId="0" xfId="0" applyFont="1" applyAlignment="1" applyProtection="1">
      <alignment horizontal="left"/>
    </xf>
    <xf numFmtId="37" fontId="15" fillId="0" borderId="0" xfId="0" applyFont="1" applyAlignment="1" applyProtection="1">
      <alignment horizontal="left" wrapText="1"/>
    </xf>
    <xf numFmtId="37" fontId="8" fillId="3" borderId="0" xfId="0" applyFont="1" applyFill="1" applyProtection="1"/>
    <xf numFmtId="37" fontId="15" fillId="0" borderId="0" xfId="0" applyFont="1" applyAlignment="1" applyProtection="1">
      <alignment horizontal="right"/>
    </xf>
    <xf numFmtId="37" fontId="8" fillId="0" borderId="0" xfId="0" applyFont="1" applyAlignment="1" applyProtection="1">
      <alignment wrapText="1"/>
    </xf>
    <xf numFmtId="37" fontId="15" fillId="0" borderId="0" xfId="0" applyFont="1" applyAlignment="1" applyProtection="1">
      <alignment horizontal="left"/>
    </xf>
    <xf numFmtId="10" fontId="8" fillId="3" borderId="0" xfId="1" applyNumberFormat="1" applyFont="1" applyFill="1" applyAlignment="1" applyProtection="1">
      <alignment horizontal="right"/>
    </xf>
    <xf numFmtId="37" fontId="8" fillId="0" borderId="0" xfId="0" applyFont="1" applyAlignment="1" applyProtection="1">
      <alignment horizontal="right"/>
    </xf>
    <xf numFmtId="10" fontId="8" fillId="0" borderId="0" xfId="1" applyNumberFormat="1" applyFont="1" applyProtection="1"/>
    <xf numFmtId="10" fontId="8" fillId="0" borderId="0" xfId="0" applyNumberFormat="1" applyFont="1" applyProtection="1"/>
    <xf numFmtId="37" fontId="8" fillId="3" borderId="0" xfId="0" applyFont="1" applyFill="1" applyAlignment="1" applyProtection="1">
      <alignment horizontal="right"/>
    </xf>
    <xf numFmtId="9" fontId="8" fillId="0" borderId="0" xfId="0" applyNumberFormat="1" applyFont="1" applyProtection="1"/>
    <xf numFmtId="37" fontId="35" fillId="0" borderId="0" xfId="0" applyFont="1" applyProtection="1"/>
    <xf numFmtId="37" fontId="15" fillId="0" borderId="0" xfId="0" applyFont="1" applyAlignment="1" applyProtection="1">
      <alignment horizontal="center"/>
    </xf>
    <xf numFmtId="10" fontId="8" fillId="3" borderId="0" xfId="0" applyNumberFormat="1" applyFont="1" applyFill="1" applyAlignment="1" applyProtection="1">
      <alignment horizontal="right"/>
    </xf>
    <xf numFmtId="37" fontId="18" fillId="0" borderId="2" xfId="0" applyFont="1" applyBorder="1" applyProtection="1"/>
    <xf numFmtId="37" fontId="15" fillId="0" borderId="2" xfId="0" applyFont="1" applyBorder="1" applyProtection="1"/>
    <xf numFmtId="37" fontId="8" fillId="0" borderId="2" xfId="0" applyFont="1" applyBorder="1" applyProtection="1"/>
    <xf numFmtId="37" fontId="29" fillId="0" borderId="0" xfId="0" applyFont="1" applyAlignment="1" applyProtection="1">
      <alignment wrapText="1"/>
    </xf>
    <xf numFmtId="37" fontId="15" fillId="0" borderId="0" xfId="0" applyFont="1" applyAlignment="1" applyProtection="1">
      <alignment horizontal="right"/>
    </xf>
    <xf numFmtId="37" fontId="8" fillId="0" borderId="0" xfId="0" applyFont="1" applyAlignment="1" applyProtection="1">
      <alignment horizontal="right" wrapText="1"/>
    </xf>
    <xf numFmtId="37" fontId="11" fillId="0" borderId="0" xfId="0" applyFont="1" applyAlignment="1" applyProtection="1">
      <alignment horizontal="right" wrapText="1"/>
    </xf>
    <xf numFmtId="10" fontId="8" fillId="0" borderId="0" xfId="0" applyNumberFormat="1" applyFont="1" applyAlignment="1" applyProtection="1">
      <alignment horizontal="right"/>
    </xf>
    <xf numFmtId="37" fontId="8" fillId="0" borderId="1" xfId="0" applyFont="1" applyBorder="1" applyAlignment="1" applyProtection="1">
      <alignment horizontal="right"/>
    </xf>
    <xf numFmtId="168" fontId="15" fillId="0" borderId="1" xfId="3" applyNumberFormat="1" applyFont="1" applyBorder="1" applyProtection="1"/>
    <xf numFmtId="10" fontId="8" fillId="0" borderId="1" xfId="0" applyNumberFormat="1" applyFont="1" applyBorder="1" applyProtection="1"/>
    <xf numFmtId="37" fontId="8" fillId="0" borderId="1" xfId="0" applyFont="1" applyBorder="1" applyProtection="1"/>
    <xf numFmtId="37" fontId="9" fillId="0" borderId="0" xfId="0" applyFont="1" applyProtection="1"/>
    <xf numFmtId="39" fontId="8" fillId="3" borderId="0" xfId="0" applyNumberFormat="1" applyFont="1" applyFill="1" applyAlignment="1" applyProtection="1">
      <alignment horizontal="right"/>
    </xf>
    <xf numFmtId="37" fontId="8" fillId="0" borderId="3" xfId="0" applyFont="1" applyBorder="1" applyProtection="1"/>
    <xf numFmtId="10" fontId="15" fillId="3" borderId="0" xfId="0" applyNumberFormat="1" applyFont="1" applyFill="1" applyAlignment="1" applyProtection="1">
      <alignment horizontal="right" wrapText="1"/>
    </xf>
    <xf numFmtId="0" fontId="15" fillId="3" borderId="0" xfId="0" applyNumberFormat="1" applyFont="1" applyFill="1" applyAlignment="1" applyProtection="1">
      <alignment horizontal="right"/>
    </xf>
    <xf numFmtId="37" fontId="8" fillId="0" borderId="0" xfId="0" applyFont="1" applyAlignment="1" applyProtection="1">
      <alignment horizontal="left"/>
    </xf>
    <xf numFmtId="37" fontId="8" fillId="0" borderId="0" xfId="0" applyFont="1" applyAlignment="1" applyProtection="1">
      <alignment horizontal="right"/>
    </xf>
    <xf numFmtId="37" fontId="15" fillId="0" borderId="16" xfId="0" applyFont="1" applyBorder="1" applyAlignment="1" applyProtection="1">
      <alignment horizontal="left"/>
    </xf>
    <xf numFmtId="37" fontId="8" fillId="0" borderId="16" xfId="0" applyFont="1" applyBorder="1" applyAlignment="1" applyProtection="1">
      <alignment horizontal="right"/>
    </xf>
    <xf numFmtId="10" fontId="8" fillId="0" borderId="16" xfId="1" applyNumberFormat="1" applyFont="1" applyFill="1" applyBorder="1" applyProtection="1"/>
    <xf numFmtId="37" fontId="15" fillId="3" borderId="0" xfId="0" applyFont="1" applyFill="1" applyProtection="1"/>
    <xf numFmtId="37" fontId="19" fillId="0" borderId="16" xfId="0" applyFont="1" applyBorder="1" applyProtection="1"/>
    <xf numFmtId="14" fontId="20" fillId="0" borderId="16" xfId="0" applyNumberFormat="1" applyFont="1" applyBorder="1" applyProtection="1"/>
    <xf numFmtId="37" fontId="20" fillId="0" borderId="16" xfId="0" applyFont="1" applyBorder="1" applyProtection="1"/>
    <xf numFmtId="44" fontId="20" fillId="0" borderId="16" xfId="0" applyNumberFormat="1" applyFont="1" applyBorder="1" applyProtection="1"/>
    <xf numFmtId="37" fontId="11" fillId="0" borderId="16" xfId="0" applyFont="1" applyBorder="1" applyProtection="1"/>
    <xf numFmtId="166" fontId="11" fillId="0" borderId="16" xfId="0" applyNumberFormat="1" applyFont="1" applyBorder="1" applyProtection="1"/>
    <xf numFmtId="37" fontId="21" fillId="0" borderId="0" xfId="0" applyFont="1" applyAlignment="1" applyProtection="1">
      <alignment horizontal="right"/>
    </xf>
    <xf numFmtId="37" fontId="20" fillId="0" borderId="0" xfId="0" applyFont="1" applyProtection="1"/>
    <xf numFmtId="44" fontId="20" fillId="0" borderId="0" xfId="0" applyNumberFormat="1" applyFont="1" applyProtection="1"/>
    <xf numFmtId="37" fontId="31" fillId="0" borderId="0" xfId="0" applyFont="1" applyProtection="1"/>
    <xf numFmtId="37" fontId="11" fillId="0" borderId="0" xfId="0" applyFont="1" applyAlignment="1" applyProtection="1">
      <alignment wrapText="1"/>
    </xf>
    <xf numFmtId="37" fontId="20" fillId="0" borderId="0" xfId="0" applyFont="1" applyAlignment="1" applyProtection="1">
      <alignment horizontal="center" wrapText="1"/>
    </xf>
    <xf numFmtId="44" fontId="20" fillId="0" borderId="0" xfId="0" applyNumberFormat="1" applyFont="1" applyAlignment="1" applyProtection="1">
      <alignment horizontal="center" wrapText="1"/>
    </xf>
    <xf numFmtId="37" fontId="11" fillId="0" borderId="0" xfId="0" applyFont="1" applyAlignment="1" applyProtection="1">
      <alignment horizontal="center" wrapText="1"/>
    </xf>
    <xf numFmtId="37" fontId="14" fillId="0" borderId="0" xfId="0" applyFont="1" applyAlignment="1" applyProtection="1">
      <alignment horizontal="center" wrapText="1"/>
    </xf>
    <xf numFmtId="37" fontId="13" fillId="0" borderId="0" xfId="0" applyFont="1" applyProtection="1"/>
    <xf numFmtId="44" fontId="11" fillId="0" borderId="0" xfId="0" applyNumberFormat="1" applyFont="1" applyProtection="1"/>
    <xf numFmtId="37" fontId="21" fillId="0" borderId="0" xfId="0" applyFont="1" applyAlignment="1" applyProtection="1">
      <alignment horizontal="left"/>
    </xf>
    <xf numFmtId="37" fontId="22" fillId="0" borderId="0" xfId="0" applyFont="1" applyProtection="1"/>
    <xf numFmtId="37" fontId="21" fillId="0" borderId="1" xfId="0" applyFont="1" applyBorder="1" applyAlignment="1" applyProtection="1">
      <alignment horizontal="right"/>
    </xf>
    <xf numFmtId="37" fontId="21" fillId="0" borderId="3" xfId="0" applyFont="1" applyBorder="1" applyAlignment="1" applyProtection="1">
      <alignment horizontal="left"/>
    </xf>
    <xf numFmtId="37" fontId="20" fillId="0" borderId="0" xfId="0" applyFont="1" applyAlignment="1" applyProtection="1">
      <alignment horizontal="right"/>
    </xf>
    <xf numFmtId="37" fontId="11" fillId="0" borderId="25" xfId="0" applyFont="1" applyBorder="1" applyProtection="1"/>
    <xf numFmtId="37" fontId="11" fillId="0" borderId="1" xfId="0" applyFont="1" applyBorder="1" applyProtection="1"/>
    <xf numFmtId="43" fontId="11" fillId="0" borderId="1" xfId="4" applyFont="1" applyBorder="1" applyProtection="1"/>
    <xf numFmtId="43" fontId="11" fillId="0" borderId="0" xfId="4" applyFont="1" applyProtection="1"/>
    <xf numFmtId="37" fontId="11" fillId="0" borderId="3" xfId="0" applyFont="1" applyBorder="1" applyProtection="1"/>
    <xf numFmtId="0" fontId="11" fillId="0" borderId="3" xfId="0" applyNumberFormat="1" applyFont="1" applyBorder="1" applyProtection="1"/>
    <xf numFmtId="168" fontId="11" fillId="0" borderId="3" xfId="0" applyNumberFormat="1" applyFont="1" applyBorder="1" applyProtection="1"/>
    <xf numFmtId="44" fontId="20" fillId="0" borderId="0" xfId="0" applyNumberFormat="1" applyFont="1" applyAlignment="1" applyProtection="1">
      <alignment horizontal="left"/>
    </xf>
    <xf numFmtId="37" fontId="16" fillId="0" borderId="16" xfId="0" applyFont="1" applyBorder="1" applyProtection="1"/>
    <xf numFmtId="37" fontId="19" fillId="0" borderId="0" xfId="0" applyFont="1" applyProtection="1"/>
    <xf numFmtId="14" fontId="20" fillId="0" borderId="0" xfId="0" applyNumberFormat="1" applyFont="1" applyProtection="1"/>
    <xf numFmtId="14" fontId="24" fillId="0" borderId="2" xfId="0" applyNumberFormat="1" applyFont="1" applyBorder="1" applyAlignment="1" applyProtection="1">
      <alignment horizontal="center"/>
    </xf>
    <xf numFmtId="37" fontId="31" fillId="0" borderId="2" xfId="0" applyFont="1" applyBorder="1" applyAlignment="1" applyProtection="1">
      <alignment horizontal="center"/>
    </xf>
    <xf numFmtId="37" fontId="24" fillId="0" borderId="0" xfId="0" applyFont="1" applyAlignment="1" applyProtection="1">
      <alignment horizontal="left"/>
    </xf>
    <xf numFmtId="37" fontId="31" fillId="0" borderId="0" xfId="0" applyFont="1" applyAlignment="1" applyProtection="1">
      <alignment wrapText="1"/>
    </xf>
    <xf numFmtId="37" fontId="20" fillId="0" borderId="0" xfId="0" applyFont="1" applyAlignment="1" applyProtection="1">
      <alignment horizontal="left" wrapText="1"/>
    </xf>
    <xf numFmtId="37" fontId="46" fillId="0" borderId="0" xfId="0" applyFont="1" applyProtection="1"/>
    <xf numFmtId="37" fontId="20" fillId="0" borderId="0" xfId="0" quotePrefix="1" applyFont="1" applyAlignment="1" applyProtection="1">
      <alignment horizontal="left"/>
    </xf>
    <xf numFmtId="168" fontId="20" fillId="1" borderId="0" xfId="3" applyNumberFormat="1" applyFont="1" applyFill="1" applyBorder="1" applyProtection="1"/>
    <xf numFmtId="168" fontId="20" fillId="1" borderId="0" xfId="3" applyNumberFormat="1" applyFont="1" applyFill="1" applyProtection="1"/>
    <xf numFmtId="37" fontId="20" fillId="0" borderId="0" xfId="0" applyFont="1" applyAlignment="1" applyProtection="1">
      <alignment horizontal="center"/>
    </xf>
    <xf numFmtId="37" fontId="11" fillId="0" borderId="29" xfId="0" applyFont="1" applyBorder="1" applyProtection="1"/>
    <xf numFmtId="37" fontId="11" fillId="0" borderId="9" xfId="0" applyFont="1" applyBorder="1" applyProtection="1"/>
    <xf numFmtId="37" fontId="31" fillId="4" borderId="9" xfId="0" applyFont="1" applyFill="1" applyBorder="1" applyProtection="1"/>
    <xf numFmtId="37" fontId="11" fillId="0" borderId="1" xfId="0" applyFont="1" applyBorder="1" applyAlignment="1" applyProtection="1">
      <alignment horizontal="right"/>
    </xf>
    <xf numFmtId="37" fontId="31" fillId="9" borderId="9" xfId="0" applyFont="1" applyFill="1" applyBorder="1" applyProtection="1"/>
    <xf numFmtId="37" fontId="11" fillId="0" borderId="33" xfId="0" applyFont="1" applyBorder="1" applyProtection="1"/>
    <xf numFmtId="37" fontId="11" fillId="0" borderId="34" xfId="0" applyFont="1" applyBorder="1" applyProtection="1"/>
    <xf numFmtId="37" fontId="11" fillId="8" borderId="1" xfId="0" applyFont="1" applyFill="1" applyBorder="1" applyProtection="1"/>
    <xf numFmtId="37" fontId="31" fillId="9" borderId="29" xfId="0" applyFont="1" applyFill="1" applyBorder="1" applyProtection="1"/>
    <xf numFmtId="37" fontId="11" fillId="0" borderId="4" xfId="0" applyFont="1" applyBorder="1" applyAlignment="1" applyProtection="1">
      <alignment horizontal="left"/>
    </xf>
    <xf numFmtId="37" fontId="11" fillId="0" borderId="5" xfId="0" applyFont="1" applyBorder="1" applyProtection="1"/>
    <xf numFmtId="37" fontId="11" fillId="0" borderId="6" xfId="0" applyFont="1" applyBorder="1" applyProtection="1"/>
    <xf numFmtId="0" fontId="11" fillId="0" borderId="0" xfId="0" applyNumberFormat="1" applyFont="1" applyProtection="1"/>
    <xf numFmtId="167" fontId="20" fillId="0" borderId="16" xfId="0" applyNumberFormat="1" applyFont="1" applyBorder="1" applyProtection="1"/>
    <xf numFmtId="37" fontId="13" fillId="0" borderId="16" xfId="0" applyFont="1" applyBorder="1" applyProtection="1"/>
    <xf numFmtId="166" fontId="11" fillId="0" borderId="0" xfId="0" applyNumberFormat="1" applyFont="1" applyProtection="1"/>
    <xf numFmtId="37" fontId="13" fillId="0" borderId="12" xfId="0" applyFont="1" applyBorder="1" applyAlignment="1" applyProtection="1">
      <alignment horizontal="center" wrapText="1"/>
    </xf>
    <xf numFmtId="37" fontId="13" fillId="0" borderId="6" xfId="0" applyFont="1" applyBorder="1" applyAlignment="1" applyProtection="1">
      <alignment horizontal="center" wrapText="1"/>
    </xf>
    <xf numFmtId="37" fontId="13" fillId="0" borderId="3" xfId="0" applyFont="1" applyBorder="1" applyAlignment="1" applyProtection="1">
      <alignment horizontal="center" wrapText="1"/>
    </xf>
    <xf numFmtId="37" fontId="13" fillId="0" borderId="24" xfId="0" applyFont="1" applyBorder="1" applyAlignment="1" applyProtection="1">
      <alignment horizontal="center" wrapText="1"/>
    </xf>
    <xf numFmtId="37" fontId="13" fillId="0" borderId="25" xfId="0" applyFont="1" applyBorder="1" applyAlignment="1" applyProtection="1">
      <alignment horizontal="center" wrapText="1"/>
    </xf>
    <xf numFmtId="37" fontId="13" fillId="0" borderId="26" xfId="0" applyFont="1" applyBorder="1" applyAlignment="1" applyProtection="1">
      <alignment horizontal="center" wrapText="1"/>
    </xf>
    <xf numFmtId="37" fontId="11" fillId="0" borderId="25" xfId="0" applyFont="1" applyBorder="1" applyAlignment="1" applyProtection="1">
      <alignment horizontal="center" wrapText="1"/>
    </xf>
    <xf numFmtId="37" fontId="11" fillId="0" borderId="13" xfId="0" applyFont="1" applyBorder="1" applyAlignment="1" applyProtection="1">
      <alignment horizontal="center" wrapText="1"/>
    </xf>
    <xf numFmtId="37" fontId="13" fillId="0" borderId="11" xfId="0" applyFont="1" applyBorder="1" applyAlignment="1" applyProtection="1">
      <alignment horizontal="center" vertical="center" wrapText="1"/>
    </xf>
    <xf numFmtId="37" fontId="13" fillId="0" borderId="20" xfId="0" applyFont="1" applyBorder="1" applyAlignment="1" applyProtection="1">
      <alignment horizontal="center" vertical="center" wrapText="1"/>
    </xf>
    <xf numFmtId="37" fontId="13" fillId="0" borderId="20" xfId="0" applyFont="1" applyBorder="1" applyAlignment="1" applyProtection="1">
      <alignment horizontal="center" vertical="center" textRotation="90" wrapText="1"/>
    </xf>
    <xf numFmtId="37" fontId="13" fillId="0" borderId="18" xfId="0" applyFont="1" applyBorder="1" applyAlignment="1" applyProtection="1">
      <alignment horizontal="center" vertical="center" textRotation="90" wrapText="1"/>
    </xf>
    <xf numFmtId="37" fontId="13" fillId="0" borderId="14" xfId="0" applyFont="1" applyBorder="1" applyAlignment="1" applyProtection="1">
      <alignment horizontal="center" vertical="center" textRotation="90" wrapText="1"/>
    </xf>
    <xf numFmtId="37" fontId="13" fillId="0" borderId="22" xfId="0" applyFont="1" applyBorder="1" applyAlignment="1" applyProtection="1">
      <alignment horizontal="center" vertical="center" wrapText="1"/>
    </xf>
    <xf numFmtId="37" fontId="13" fillId="0" borderId="14" xfId="0" applyFont="1" applyBorder="1" applyAlignment="1" applyProtection="1">
      <alignment horizontal="center" vertical="center" wrapText="1"/>
    </xf>
    <xf numFmtId="37" fontId="13" fillId="0" borderId="15" xfId="0" applyFont="1" applyBorder="1" applyAlignment="1" applyProtection="1">
      <alignment horizontal="center" vertical="center" wrapText="1"/>
    </xf>
    <xf numFmtId="37" fontId="13" fillId="0" borderId="13" xfId="0" applyFont="1" applyBorder="1" applyAlignment="1" applyProtection="1">
      <alignment horizontal="center" vertical="center" wrapText="1"/>
    </xf>
    <xf numFmtId="37" fontId="13" fillId="0" borderId="11" xfId="0" applyFont="1" applyBorder="1" applyAlignment="1" applyProtection="1">
      <alignment horizontal="center" vertical="center"/>
    </xf>
    <xf numFmtId="37" fontId="13" fillId="0" borderId="0" xfId="0" applyFont="1" applyAlignment="1" applyProtection="1">
      <alignment vertical="center"/>
    </xf>
    <xf numFmtId="37" fontId="13" fillId="0" borderId="11" xfId="0" applyFont="1" applyBorder="1" applyAlignment="1" applyProtection="1">
      <alignment vertical="center" textRotation="90" wrapText="1"/>
    </xf>
    <xf numFmtId="37" fontId="13" fillId="9" borderId="11" xfId="0" applyFont="1" applyFill="1" applyBorder="1" applyAlignment="1" applyProtection="1">
      <alignment horizontal="center" vertical="center" textRotation="90" wrapText="1"/>
    </xf>
    <xf numFmtId="37" fontId="13" fillId="0" borderId="11" xfId="0" applyFont="1" applyBorder="1" applyAlignment="1" applyProtection="1">
      <alignment horizontal="center" vertical="center" textRotation="90" wrapText="1"/>
    </xf>
    <xf numFmtId="37" fontId="13" fillId="0" borderId="23" xfId="0" applyFont="1" applyBorder="1" applyAlignment="1" applyProtection="1">
      <alignment horizontal="center" vertical="center" wrapText="1"/>
    </xf>
    <xf numFmtId="37" fontId="13" fillId="0" borderId="13" xfId="0" quotePrefix="1" applyFont="1" applyBorder="1" applyAlignment="1" applyProtection="1">
      <alignment horizontal="center"/>
    </xf>
    <xf numFmtId="37" fontId="13" fillId="0" borderId="11" xfId="0" quotePrefix="1" applyFont="1" applyBorder="1" applyAlignment="1" applyProtection="1">
      <alignment horizontal="center"/>
    </xf>
    <xf numFmtId="169" fontId="13" fillId="9" borderId="0" xfId="4" applyNumberFormat="1" applyFont="1" applyFill="1" applyAlignment="1" applyProtection="1">
      <alignment vertical="center" textRotation="90" wrapText="1"/>
    </xf>
    <xf numFmtId="37" fontId="13" fillId="9" borderId="0" xfId="0" applyFont="1" applyFill="1" applyProtection="1"/>
    <xf numFmtId="169" fontId="11" fillId="9" borderId="0" xfId="4" applyNumberFormat="1" applyFont="1" applyFill="1" applyProtection="1"/>
    <xf numFmtId="37" fontId="13" fillId="0" borderId="11" xfId="0" applyFont="1" applyBorder="1" applyAlignment="1" applyProtection="1">
      <alignment horizontal="center" wrapText="1"/>
    </xf>
    <xf numFmtId="37" fontId="11" fillId="0" borderId="11" xfId="0" applyFont="1" applyBorder="1" applyProtection="1"/>
    <xf numFmtId="37" fontId="11" fillId="0" borderId="15" xfId="0" applyFont="1" applyBorder="1" applyProtection="1"/>
    <xf numFmtId="37" fontId="11" fillId="0" borderId="11" xfId="0" applyFont="1" applyBorder="1" applyAlignment="1" applyProtection="1">
      <alignment vertical="top" wrapText="1"/>
    </xf>
    <xf numFmtId="172" fontId="11" fillId="0" borderId="11" xfId="0" applyNumberFormat="1" applyFont="1" applyBorder="1" applyProtection="1"/>
    <xf numFmtId="37" fontId="13" fillId="0" borderId="5" xfId="0" applyFont="1" applyBorder="1" applyAlignment="1" applyProtection="1">
      <alignment horizontal="right" vertical="top"/>
    </xf>
    <xf numFmtId="37" fontId="13" fillId="0" borderId="0" xfId="0" applyFont="1" applyAlignment="1" applyProtection="1">
      <alignment horizontal="right" vertical="top"/>
    </xf>
    <xf numFmtId="37" fontId="11" fillId="0" borderId="0" xfId="0" applyFont="1" applyAlignment="1" applyProtection="1">
      <alignment horizontal="center" wrapText="1"/>
    </xf>
    <xf numFmtId="37" fontId="13" fillId="0" borderId="0" xfId="0" applyFont="1" applyAlignment="1" applyProtection="1">
      <alignment horizontal="center" vertical="center" wrapText="1"/>
    </xf>
    <xf numFmtId="37" fontId="11" fillId="0" borderId="0" xfId="0" applyFont="1" applyAlignment="1" applyProtection="1">
      <alignment horizontal="center" vertical="center" wrapText="1"/>
    </xf>
    <xf numFmtId="37" fontId="13" fillId="0" borderId="7" xfId="0" applyFont="1" applyBorder="1" applyAlignment="1" applyProtection="1">
      <alignment horizontal="center" vertical="center" wrapText="1"/>
    </xf>
    <xf numFmtId="37" fontId="11" fillId="0" borderId="0" xfId="0" applyFont="1" applyAlignment="1" applyProtection="1">
      <alignment horizontal="center"/>
    </xf>
    <xf numFmtId="9" fontId="11" fillId="0" borderId="0" xfId="1" applyFont="1" applyFill="1" applyBorder="1" applyProtection="1"/>
    <xf numFmtId="37" fontId="11" fillId="0" borderId="0" xfId="0" applyFont="1" applyAlignment="1" applyProtection="1">
      <alignment horizontal="right" textRotation="89"/>
    </xf>
    <xf numFmtId="37" fontId="20" fillId="0" borderId="0" xfId="0" applyFont="1" applyAlignment="1" applyProtection="1">
      <alignment horizontal="right" wrapText="1"/>
    </xf>
    <xf numFmtId="37" fontId="19" fillId="0" borderId="0" xfId="0" applyFont="1" applyAlignment="1" applyProtection="1">
      <alignment horizontal="left"/>
    </xf>
    <xf numFmtId="37" fontId="20" fillId="0" borderId="0" xfId="2" applyFont="1" applyAlignment="1" applyProtection="1">
      <alignment horizontal="left"/>
    </xf>
    <xf numFmtId="37" fontId="20" fillId="0" borderId="0" xfId="2" applyFont="1" applyAlignment="1" applyProtection="1">
      <alignment wrapText="1"/>
    </xf>
    <xf numFmtId="37" fontId="20" fillId="0" borderId="35" xfId="2" applyFont="1" applyBorder="1" applyAlignment="1" applyProtection="1">
      <alignment wrapText="1"/>
    </xf>
    <xf numFmtId="37" fontId="20" fillId="0" borderId="35" xfId="0" applyFont="1" applyBorder="1" applyAlignment="1" applyProtection="1">
      <alignment horizontal="left"/>
    </xf>
    <xf numFmtId="37" fontId="20" fillId="0" borderId="0" xfId="2" applyFont="1" applyAlignment="1" applyProtection="1">
      <alignment horizontal="left" wrapText="1"/>
    </xf>
    <xf numFmtId="37" fontId="20" fillId="0" borderId="35" xfId="2" applyFont="1" applyBorder="1" applyAlignment="1" applyProtection="1">
      <alignment horizontal="left"/>
    </xf>
    <xf numFmtId="37" fontId="19" fillId="0" borderId="0" xfId="2" applyFont="1" applyAlignment="1" applyProtection="1">
      <alignment horizontal="left"/>
    </xf>
    <xf numFmtId="37" fontId="20" fillId="0" borderId="27" xfId="0" applyFont="1" applyBorder="1" applyAlignment="1" applyProtection="1">
      <alignment horizontal="left"/>
    </xf>
    <xf numFmtId="37" fontId="11" fillId="0" borderId="18" xfId="0" applyFont="1" applyBorder="1" applyProtection="1"/>
    <xf numFmtId="37" fontId="11" fillId="0" borderId="19" xfId="0" applyFont="1" applyBorder="1" applyProtection="1"/>
    <xf numFmtId="37" fontId="20" fillId="0" borderId="16" xfId="0" applyFont="1" applyBorder="1" applyAlignment="1" applyProtection="1">
      <alignment horizontal="right"/>
    </xf>
    <xf numFmtId="37" fontId="19" fillId="0" borderId="2" xfId="0" applyFont="1" applyBorder="1" applyProtection="1"/>
    <xf numFmtId="37" fontId="20" fillId="0" borderId="2" xfId="0" applyFont="1" applyBorder="1" applyProtection="1"/>
    <xf numFmtId="164" fontId="20" fillId="0" borderId="2" xfId="0" applyNumberFormat="1" applyFont="1" applyBorder="1" applyProtection="1"/>
    <xf numFmtId="37" fontId="20" fillId="0" borderId="2" xfId="0" applyFont="1" applyBorder="1" applyAlignment="1" applyProtection="1">
      <alignment horizontal="right"/>
    </xf>
    <xf numFmtId="37" fontId="20" fillId="0" borderId="0" xfId="0" applyFont="1" applyAlignment="1" applyProtection="1">
      <alignment wrapText="1"/>
    </xf>
    <xf numFmtId="10" fontId="21" fillId="0" borderId="0" xfId="0" applyNumberFormat="1" applyFont="1" applyAlignment="1" applyProtection="1">
      <alignment horizontal="right"/>
    </xf>
    <xf numFmtId="43" fontId="20" fillId="3" borderId="0" xfId="4" applyFont="1" applyFill="1" applyAlignment="1" applyProtection="1">
      <alignment horizontal="right"/>
    </xf>
    <xf numFmtId="10" fontId="20" fillId="0" borderId="0" xfId="0" applyNumberFormat="1" applyFont="1" applyAlignment="1" applyProtection="1">
      <alignment horizontal="right"/>
    </xf>
    <xf numFmtId="165" fontId="11" fillId="0" borderId="0" xfId="0" applyNumberFormat="1" applyFont="1" applyProtection="1"/>
    <xf numFmtId="37" fontId="11" fillId="0" borderId="3" xfId="0" applyFont="1" applyBorder="1" applyAlignment="1" applyProtection="1">
      <alignment horizontal="right"/>
    </xf>
    <xf numFmtId="37" fontId="20" fillId="0" borderId="0" xfId="0" quotePrefix="1" applyFont="1" applyAlignment="1" applyProtection="1">
      <alignment horizontal="right"/>
    </xf>
    <xf numFmtId="37" fontId="11" fillId="0" borderId="2" xfId="0" applyFont="1" applyBorder="1" applyProtection="1"/>
    <xf numFmtId="37" fontId="19" fillId="0" borderId="3" xfId="0" applyFont="1" applyBorder="1" applyAlignment="1" applyProtection="1">
      <alignment horizontal="left"/>
    </xf>
    <xf numFmtId="37" fontId="20" fillId="0" borderId="3" xfId="0" applyFont="1" applyBorder="1" applyProtection="1"/>
    <xf numFmtId="10" fontId="20" fillId="0" borderId="0" xfId="1" applyNumberFormat="1" applyFont="1" applyFill="1" applyBorder="1" applyProtection="1"/>
    <xf numFmtId="170" fontId="11" fillId="0" borderId="0" xfId="0" applyNumberFormat="1" applyFont="1" applyProtection="1"/>
    <xf numFmtId="37" fontId="11" fillId="0" borderId="7" xfId="0" applyFont="1" applyBorder="1" applyProtection="1"/>
    <xf numFmtId="37" fontId="20" fillId="0" borderId="5" xfId="0" applyFont="1" applyBorder="1" applyProtection="1"/>
    <xf numFmtId="10" fontId="12" fillId="0" borderId="0" xfId="0" applyNumberFormat="1" applyFont="1" applyProtection="1"/>
    <xf numFmtId="3" fontId="11" fillId="0" borderId="0" xfId="0" applyNumberFormat="1" applyFont="1" applyProtection="1"/>
    <xf numFmtId="37" fontId="14" fillId="0" borderId="0" xfId="0" applyFont="1" applyProtection="1"/>
    <xf numFmtId="164" fontId="11" fillId="0" borderId="0" xfId="0" applyNumberFormat="1" applyFont="1" applyProtection="1"/>
    <xf numFmtId="37" fontId="11" fillId="1" borderId="0" xfId="0" applyFont="1" applyFill="1" applyProtection="1"/>
    <xf numFmtId="10" fontId="26" fillId="0" borderId="0" xfId="0" applyNumberFormat="1" applyFont="1" applyProtection="1"/>
    <xf numFmtId="165" fontId="26" fillId="0" borderId="0" xfId="0" applyNumberFormat="1" applyFont="1" applyAlignment="1" applyProtection="1">
      <alignment horizontal="right"/>
    </xf>
    <xf numFmtId="165" fontId="26" fillId="0" borderId="0" xfId="0" applyNumberFormat="1" applyFont="1" applyProtection="1"/>
    <xf numFmtId="37" fontId="26" fillId="0" borderId="0" xfId="0" applyFont="1" applyAlignment="1" applyProtection="1">
      <alignment horizontal="right"/>
    </xf>
    <xf numFmtId="37" fontId="17" fillId="4" borderId="0" xfId="0" applyFont="1" applyFill="1" applyAlignment="1" applyProtection="1">
      <alignment horizontal="left"/>
      <protection locked="0"/>
    </xf>
    <xf numFmtId="37" fontId="21" fillId="4" borderId="0" xfId="0" applyFont="1" applyFill="1" applyAlignment="1" applyProtection="1">
      <alignment horizontal="left"/>
      <protection locked="0"/>
    </xf>
    <xf numFmtId="37" fontId="44" fillId="4" borderId="18" xfId="0" applyFont="1" applyFill="1" applyBorder="1" applyAlignment="1" applyProtection="1">
      <alignment horizontal="center" vertical="center" textRotation="90" wrapText="1"/>
      <protection locked="0"/>
    </xf>
    <xf numFmtId="37" fontId="44" fillId="4" borderId="20" xfId="0" applyFont="1" applyFill="1" applyBorder="1" applyAlignment="1" applyProtection="1">
      <alignment horizontal="center" vertical="center" textRotation="90" wrapText="1"/>
      <protection locked="0"/>
    </xf>
    <xf numFmtId="37" fontId="26" fillId="0" borderId="0" xfId="0" applyFont="1" applyFill="1" applyProtection="1">
      <protection locked="0"/>
    </xf>
    <xf numFmtId="172" fontId="26" fillId="4" borderId="0" xfId="3" applyNumberFormat="1" applyFont="1" applyFill="1" applyProtection="1">
      <protection locked="0"/>
    </xf>
    <xf numFmtId="37" fontId="19" fillId="0" borderId="11" xfId="0" applyFont="1" applyBorder="1" applyAlignment="1" applyProtection="1">
      <alignment horizontal="left"/>
    </xf>
    <xf numFmtId="37" fontId="19" fillId="0" borderId="0" xfId="0" applyFont="1" applyBorder="1" applyAlignment="1" applyProtection="1">
      <alignment horizontal="left"/>
    </xf>
    <xf numFmtId="37" fontId="20" fillId="4" borderId="0" xfId="0" applyFont="1" applyFill="1" applyAlignment="1" applyProtection="1">
      <alignment horizontal="right" wrapText="1"/>
      <protection locked="0"/>
    </xf>
    <xf numFmtId="14" fontId="20" fillId="4" borderId="0" xfId="0" applyNumberFormat="1" applyFont="1" applyFill="1" applyAlignment="1" applyProtection="1">
      <alignment horizontal="right"/>
      <protection locked="0"/>
    </xf>
    <xf numFmtId="37" fontId="11" fillId="4" borderId="0" xfId="0" applyFont="1" applyFill="1" applyAlignment="1" applyProtection="1">
      <alignment wrapText="1"/>
      <protection locked="0"/>
    </xf>
  </cellXfs>
  <cellStyles count="19">
    <cellStyle name="Calculation 2" xfId="11" xr:uid="{E888D008-7C8D-4DA1-A30B-B82EC1AD373F}"/>
    <cellStyle name="Comma" xfId="4" builtinId="3"/>
    <cellStyle name="Comma 10 2 2" xfId="15" xr:uid="{DE6B7A68-9E4D-44F8-8E04-FF2C85999605}"/>
    <cellStyle name="Currency" xfId="3" builtinId="4"/>
    <cellStyle name="Currency 100" xfId="13" xr:uid="{E0DC4C05-22A8-4B70-9908-A5C4F2B15A1C}"/>
    <cellStyle name="Hyperlink 2 4 2" xfId="17" xr:uid="{DEFE1739-3E9A-471D-AC2B-C61C26D2CB46}"/>
    <cellStyle name="Normal" xfId="0" builtinId="0"/>
    <cellStyle name="Normal 10" xfId="6" xr:uid="{358C138C-DEA8-4EAA-BF75-8CB6B2C46926}"/>
    <cellStyle name="Normal 2" xfId="2" xr:uid="{00000000-0005-0000-0000-000003000000}"/>
    <cellStyle name="Normal 2 3" xfId="5" xr:uid="{B4C573FB-6EF8-4A7F-9CCC-AA5EE4070808}"/>
    <cellStyle name="Normal 3 29" xfId="18" xr:uid="{8637D2CF-3ACE-464B-A19E-F2F605F9692F}"/>
    <cellStyle name="Normal 3 29 2" xfId="16" xr:uid="{4C19BFB0-A7E0-48E7-A99C-402FD7571703}"/>
    <cellStyle name="Normal 3 3" xfId="8" xr:uid="{9DB24452-5446-4F73-BDF2-79DE68A96F2F}"/>
    <cellStyle name="Normal 4 30" xfId="12" xr:uid="{24653B59-22CA-43BC-8F96-728DBF33BEC6}"/>
    <cellStyle name="Normal 6" xfId="9" xr:uid="{1C1512DD-1EAE-439A-BE46-32D76ECC020A}"/>
    <cellStyle name="Normal 89" xfId="7" xr:uid="{E4A11833-214C-43B0-A164-E4AC274F9747}"/>
    <cellStyle name="Percent" xfId="1" builtinId="5"/>
    <cellStyle name="Percent 10" xfId="14" xr:uid="{9808874A-E1B8-42BB-BB64-5012BA8E90A0}"/>
    <cellStyle name="Percent 5 2" xfId="10" xr:uid="{433F6B9A-0195-4AAC-9957-7861DE519382}"/>
  </cellStyles>
  <dxfs count="5">
    <dxf>
      <font>
        <color theme="0" tint="-4.9989318521683403E-2"/>
      </font>
    </dxf>
    <dxf>
      <font>
        <color theme="0"/>
      </font>
    </dxf>
    <dxf>
      <font>
        <color theme="0" tint="-4.9989318521683403E-2"/>
      </font>
    </dxf>
    <dxf>
      <font>
        <color theme="0"/>
      </font>
      <fill>
        <patternFill patternType="none">
          <bgColor auto="1"/>
        </patternFill>
      </fill>
      <border>
        <left/>
        <right/>
        <top/>
        <bottom/>
      </border>
    </dxf>
    <dxf>
      <font>
        <color rgb="FF9C0006"/>
      </font>
      <fill>
        <patternFill patternType="solid">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5</xdr:col>
      <xdr:colOff>0</xdr:colOff>
      <xdr:row>156</xdr:row>
      <xdr:rowOff>0</xdr:rowOff>
    </xdr:from>
    <xdr:ext cx="914400" cy="235857"/>
    <xdr:sp macro="" textlink="">
      <xdr:nvSpPr>
        <xdr:cNvPr id="2" name="Control 2" hidden="1">
          <a:extLst>
            <a:ext uri="{FF2B5EF4-FFF2-40B4-BE49-F238E27FC236}">
              <a16:creationId xmlns:a16="http://schemas.microsoft.com/office/drawing/2014/main" id="{6E41FD06-5B52-4C09-A3DC-54E3C67E5CAE}"/>
            </a:ext>
          </a:extLst>
        </xdr:cNvPr>
        <xdr:cNvSpPr/>
      </xdr:nvSpPr>
      <xdr:spPr>
        <a:xfrm>
          <a:off x="4876800" y="33327975"/>
          <a:ext cx="914400" cy="235857"/>
        </a:xfrm>
        <a:prstGeom prst="rect">
          <a:avLst/>
        </a:prstGeom>
        <a:noFill/>
        <a:ln w="9525">
          <a:miter lim="800000"/>
        </a:ln>
      </xdr:spPr>
    </xdr:sp>
    <xdr:clientData/>
  </xdr:oneCellAnchor>
  <xdr:oneCellAnchor>
    <xdr:from>
      <xdr:col>5</xdr:col>
      <xdr:colOff>0</xdr:colOff>
      <xdr:row>156</xdr:row>
      <xdr:rowOff>0</xdr:rowOff>
    </xdr:from>
    <xdr:ext cx="914400" cy="235857"/>
    <xdr:sp macro="" textlink="">
      <xdr:nvSpPr>
        <xdr:cNvPr id="3" name="Control 2" hidden="1">
          <a:extLst>
            <a:ext uri="{FF2B5EF4-FFF2-40B4-BE49-F238E27FC236}">
              <a16:creationId xmlns:a16="http://schemas.microsoft.com/office/drawing/2014/main" id="{571C00B4-1E5A-E046-9DAA-AFBD7170B939}"/>
            </a:ext>
          </a:extLst>
        </xdr:cNvPr>
        <xdr:cNvSpPr/>
      </xdr:nvSpPr>
      <xdr:spPr>
        <a:xfrm>
          <a:off x="5054600" y="36080700"/>
          <a:ext cx="914400" cy="235857"/>
        </a:xfrm>
        <a:prstGeom prst="rect">
          <a:avLst/>
        </a:prstGeom>
        <a:noFill/>
        <a:ln w="9525">
          <a:miter lim="800000"/>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EV\Projects\Putney%20Landing\PROFORMA\Putney%20prelim%20pro%20forma%202.2%20cost%20est%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sum."/>
      <sheetName val="Sources"/>
      <sheetName val="Uses"/>
      <sheetName val="Scratch Pad"/>
      <sheetName val="Constr."/>
      <sheetName val="6-in&amp;ex"/>
      <sheetName val="changes"/>
      <sheetName val="OpCF"/>
      <sheetName val="7-exp."/>
      <sheetName val="Unit"/>
      <sheetName val="Bldg"/>
      <sheetName val="Data"/>
      <sheetName val="BS"/>
      <sheetName val="CapAcct"/>
      <sheetName val="MinGain"/>
      <sheetName val="Calcs"/>
      <sheetName val="Depn"/>
      <sheetName val="Debt"/>
      <sheetName val="Debtsum"/>
      <sheetName val="Ben1"/>
      <sheetName val="IRR1"/>
      <sheetName val="Ben2"/>
      <sheetName val="IRR2"/>
      <sheetName val="HOME FORM"/>
      <sheetName val="s to u"/>
      <sheetName val="VHFA"/>
      <sheetName val="Draws"/>
      <sheetName val="HVT Board"/>
      <sheetName val="Write-Up Tables"/>
      <sheetName val="Sheet1"/>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27A71-F2AD-47A3-86E0-561BA8050EE7}">
  <dimension ref="A1:T850"/>
  <sheetViews>
    <sheetView zoomScaleNormal="126" workbookViewId="0">
      <pane ySplit="1" topLeftCell="A2" activePane="bottomLeft" state="frozen"/>
      <selection activeCell="U12" sqref="U12"/>
      <selection pane="bottomLeft" activeCell="U12" sqref="U12"/>
    </sheetView>
  </sheetViews>
  <sheetFormatPr defaultColWidth="8.1640625" defaultRowHeight="15.6"/>
  <cols>
    <col min="1" max="1" width="32.75" style="351" customWidth="1"/>
    <col min="2" max="2" width="29.1640625" style="351" customWidth="1"/>
    <col min="3" max="3" width="14" style="351" customWidth="1"/>
    <col min="4" max="4" width="14.75" style="351" customWidth="1"/>
    <col min="5" max="5" width="8.75" style="351" customWidth="1"/>
    <col min="6" max="6" width="9.75" style="351" customWidth="1"/>
    <col min="7" max="7" width="15.75" style="351" customWidth="1"/>
    <col min="8" max="8" width="43.75" style="335" customWidth="1"/>
    <col min="9" max="9" width="25" style="335" customWidth="1"/>
    <col min="10" max="10" width="3.75" style="335" customWidth="1"/>
    <col min="11" max="11" width="8.75" style="335" bestFit="1" customWidth="1"/>
    <col min="12" max="12" width="15" style="335" customWidth="1"/>
    <col min="13" max="13" width="18.75" style="338" customWidth="1"/>
    <col min="14" max="14" width="8.1640625" style="335"/>
    <col min="15" max="15" width="12.75" style="335" bestFit="1" customWidth="1"/>
    <col min="16" max="16" width="11" style="335" customWidth="1"/>
    <col min="17" max="17" width="19.75" style="335" customWidth="1"/>
    <col min="18" max="18" width="14.25" style="335" customWidth="1"/>
    <col min="19" max="19" width="12.25" style="335" bestFit="1" customWidth="1"/>
    <col min="20" max="16384" width="8.1640625" style="335"/>
  </cols>
  <sheetData>
    <row r="1" spans="1:20" s="333" customFormat="1" ht="13.8">
      <c r="A1" s="331" t="s">
        <v>0</v>
      </c>
      <c r="B1" s="331" t="s">
        <v>1</v>
      </c>
      <c r="C1" s="331" t="s">
        <v>2</v>
      </c>
      <c r="D1" s="331" t="s">
        <v>3</v>
      </c>
      <c r="E1" s="331" t="s">
        <v>4</v>
      </c>
      <c r="F1" s="331" t="s">
        <v>5</v>
      </c>
      <c r="G1" s="331" t="s">
        <v>6</v>
      </c>
      <c r="H1" s="331" t="s">
        <v>7</v>
      </c>
      <c r="I1" s="331" t="s">
        <v>8</v>
      </c>
      <c r="J1" s="331" t="s">
        <v>9</v>
      </c>
      <c r="K1" s="331" t="s">
        <v>10</v>
      </c>
      <c r="L1" s="331" t="s">
        <v>11</v>
      </c>
      <c r="M1" s="332" t="s">
        <v>12</v>
      </c>
      <c r="O1" s="339" t="s">
        <v>13</v>
      </c>
    </row>
    <row r="2" spans="1:20" s="333" customFormat="1" ht="13.8">
      <c r="A2" s="334" t="str">
        <f>IF(LEN(C2)+LEN(D2)+LEN(E2)+LEN(F2)&gt;0, I2, "")</f>
        <v/>
      </c>
      <c r="B2" s="334" t="str">
        <f>IF(K2="textfield", G2, "")</f>
        <v/>
      </c>
      <c r="C2" s="334" t="str">
        <f>IF(K2="textfield", G2, "")</f>
        <v/>
      </c>
      <c r="D2" s="334" t="str">
        <f>IF(K2="radiobutton",G2,IF(K2="checkbox",G2,IF(K2="dropdown",G2,"")))</f>
        <v/>
      </c>
      <c r="E2" s="334" t="str">
        <f>IF(K2="richtextfield", G2, "")</f>
        <v/>
      </c>
      <c r="F2" s="334" t="str">
        <f>IF(K2="table", G2, IF(K2="fixed_table",G2,""))</f>
        <v/>
      </c>
      <c r="G2" s="334" t="str">
        <f>IFERROR(IF(LEN(M2)=0, "", IF(L2="pct",TEXT(M2,"0.00%"),IF(L2="currency",TEXT(M2,"###0.00"),IF(L2="date", TEXT(M2,"YYYY-MM-DD"), IF(L2="float2", TEXT(M2,"0.00"), M2))))),"")</f>
        <v/>
      </c>
      <c r="H2" s="341"/>
      <c r="I2" s="335"/>
      <c r="K2" s="336"/>
      <c r="L2" s="337"/>
      <c r="M2" s="342"/>
      <c r="P2" s="341"/>
    </row>
    <row r="3" spans="1:20" s="333" customFormat="1" ht="13.8">
      <c r="A3" s="334" t="str">
        <f t="shared" ref="A3:A52" si="0">IF(LEN(C3)+LEN(D3)+LEN(E3)+LEN(F3)&gt;0, I3, "")</f>
        <v/>
      </c>
      <c r="B3" s="334" t="str">
        <f t="shared" ref="B3:B52" si="1">IF(K3="textfield", G3, "")</f>
        <v/>
      </c>
      <c r="C3" s="334" t="str">
        <f t="shared" ref="C3:C52" si="2">IF(K3="textfield", G3, "")</f>
        <v/>
      </c>
      <c r="D3" s="334" t="str">
        <f t="shared" ref="D3:D52" si="3">IF(K3="radiobutton",G3,IF(K3="checkbox",G3,IF(K3="dropdown",G3,"")))</f>
        <v/>
      </c>
      <c r="E3" s="334" t="str">
        <f t="shared" ref="E3:E52" si="4">IF(K3="richtextfield", G3, "")</f>
        <v/>
      </c>
      <c r="F3" s="334" t="str">
        <f t="shared" ref="F3:F52" si="5">IF(K3="table", G3, IF(K3="fixed_table",G3,""))</f>
        <v/>
      </c>
      <c r="G3" s="334" t="str">
        <f t="shared" ref="G3:G52" si="6">IFERROR(IF(LEN(M3)=0, "", IF(L3="pct",TEXT(M3,"0.00%"),IF(L3="currency",TEXT(M3,"###0.00"),IF(L3="date", TEXT(M3,"YYYY-MM-DD"), IF(L3="float2", TEXT(M3,"0.00"), M3))))),"")</f>
        <v/>
      </c>
      <c r="H3" s="335"/>
      <c r="I3" s="335"/>
      <c r="J3" s="335"/>
      <c r="K3" s="336"/>
      <c r="L3" s="337"/>
      <c r="M3" s="338"/>
      <c r="Q3" s="474"/>
    </row>
    <row r="4" spans="1:20" s="333" customFormat="1" ht="13.8">
      <c r="A4" s="334" t="str">
        <f t="shared" si="0"/>
        <v/>
      </c>
      <c r="B4" s="334" t="str">
        <f t="shared" si="1"/>
        <v/>
      </c>
      <c r="C4" s="334" t="str">
        <f t="shared" si="2"/>
        <v/>
      </c>
      <c r="D4" s="334" t="str">
        <f t="shared" si="3"/>
        <v/>
      </c>
      <c r="E4" s="334" t="str">
        <f t="shared" si="4"/>
        <v/>
      </c>
      <c r="F4" s="334" t="str">
        <f t="shared" si="5"/>
        <v/>
      </c>
      <c r="G4" s="334" t="str">
        <f t="shared" si="6"/>
        <v/>
      </c>
      <c r="H4" s="341"/>
      <c r="I4" s="335"/>
      <c r="K4" s="336"/>
      <c r="L4" s="337"/>
      <c r="M4" s="341"/>
      <c r="O4" s="336"/>
      <c r="P4" s="336"/>
      <c r="Q4" s="340"/>
      <c r="R4" s="340"/>
      <c r="S4" s="340"/>
      <c r="T4" s="341"/>
    </row>
    <row r="5" spans="1:20" s="333" customFormat="1" ht="13.8">
      <c r="A5" s="334" t="str">
        <f t="shared" si="0"/>
        <v/>
      </c>
      <c r="B5" s="334" t="str">
        <f t="shared" si="1"/>
        <v/>
      </c>
      <c r="C5" s="334" t="str">
        <f t="shared" si="2"/>
        <v/>
      </c>
      <c r="D5" s="334" t="str">
        <f t="shared" si="3"/>
        <v/>
      </c>
      <c r="E5" s="334" t="str">
        <f t="shared" si="4"/>
        <v/>
      </c>
      <c r="F5" s="334" t="str">
        <f t="shared" si="5"/>
        <v/>
      </c>
      <c r="G5" s="334" t="str">
        <f t="shared" si="6"/>
        <v/>
      </c>
      <c r="H5" s="341"/>
      <c r="I5" s="335"/>
      <c r="K5" s="336"/>
      <c r="L5" s="337"/>
      <c r="M5" s="341"/>
      <c r="O5" s="336"/>
      <c r="P5" s="336"/>
      <c r="Q5" s="336"/>
      <c r="R5" s="340"/>
      <c r="S5" s="340"/>
      <c r="T5" s="341"/>
    </row>
    <row r="6" spans="1:20" s="333" customFormat="1" ht="13.8">
      <c r="A6" s="334" t="str">
        <f t="shared" si="0"/>
        <v/>
      </c>
      <c r="B6" s="334" t="str">
        <f t="shared" si="1"/>
        <v/>
      </c>
      <c r="C6" s="334" t="str">
        <f t="shared" si="2"/>
        <v/>
      </c>
      <c r="D6" s="334" t="str">
        <f t="shared" si="3"/>
        <v/>
      </c>
      <c r="E6" s="334" t="str">
        <f t="shared" si="4"/>
        <v/>
      </c>
      <c r="F6" s="334" t="str">
        <f t="shared" si="5"/>
        <v/>
      </c>
      <c r="G6" s="334" t="str">
        <f t="shared" si="6"/>
        <v/>
      </c>
      <c r="H6" s="341"/>
      <c r="I6" s="335"/>
      <c r="J6" s="341"/>
      <c r="K6" s="336"/>
      <c r="L6" s="337"/>
      <c r="M6" s="341"/>
      <c r="O6" s="336"/>
      <c r="P6" s="336"/>
      <c r="Q6" s="336"/>
      <c r="R6" s="336"/>
      <c r="S6" s="340"/>
      <c r="T6" s="341"/>
    </row>
    <row r="7" spans="1:20" s="333" customFormat="1" ht="13.8">
      <c r="A7" s="334" t="str">
        <f t="shared" si="0"/>
        <v/>
      </c>
      <c r="B7" s="334" t="str">
        <f t="shared" si="1"/>
        <v/>
      </c>
      <c r="C7" s="334" t="str">
        <f t="shared" si="2"/>
        <v/>
      </c>
      <c r="D7" s="334" t="str">
        <f t="shared" si="3"/>
        <v/>
      </c>
      <c r="E7" s="334" t="str">
        <f t="shared" si="4"/>
        <v/>
      </c>
      <c r="F7" s="334" t="str">
        <f t="shared" si="5"/>
        <v/>
      </c>
      <c r="G7" s="334" t="str">
        <f t="shared" si="6"/>
        <v/>
      </c>
      <c r="H7" s="341"/>
      <c r="I7" s="335"/>
      <c r="J7" s="341"/>
      <c r="K7" s="336"/>
      <c r="L7" s="337"/>
      <c r="M7" s="341"/>
      <c r="O7" s="336"/>
      <c r="P7" s="336"/>
      <c r="Q7" s="336"/>
      <c r="R7" s="340"/>
      <c r="S7" s="340"/>
    </row>
    <row r="8" spans="1:20" s="333" customFormat="1" ht="13.8">
      <c r="A8" s="334" t="str">
        <f t="shared" si="0"/>
        <v/>
      </c>
      <c r="B8" s="334" t="str">
        <f t="shared" si="1"/>
        <v/>
      </c>
      <c r="C8" s="334" t="str">
        <f t="shared" si="2"/>
        <v/>
      </c>
      <c r="D8" s="334" t="str">
        <f t="shared" si="3"/>
        <v/>
      </c>
      <c r="E8" s="334" t="str">
        <f t="shared" si="4"/>
        <v/>
      </c>
      <c r="F8" s="334" t="str">
        <f t="shared" si="5"/>
        <v/>
      </c>
      <c r="G8" s="334" t="str">
        <f t="shared" si="6"/>
        <v/>
      </c>
      <c r="H8" s="341"/>
      <c r="I8" s="335"/>
      <c r="J8" s="335"/>
      <c r="K8" s="336"/>
      <c r="L8" s="337"/>
      <c r="M8" s="341"/>
      <c r="P8" s="341"/>
      <c r="Q8" s="336"/>
      <c r="R8" s="340"/>
      <c r="S8" s="340"/>
    </row>
    <row r="9" spans="1:20" s="333" customFormat="1" ht="14.4">
      <c r="A9" s="334" t="str">
        <f t="shared" si="0"/>
        <v/>
      </c>
      <c r="B9" s="334" t="str">
        <f t="shared" si="1"/>
        <v/>
      </c>
      <c r="C9" s="334" t="str">
        <f t="shared" si="2"/>
        <v/>
      </c>
      <c r="D9" s="334" t="str">
        <f t="shared" si="3"/>
        <v/>
      </c>
      <c r="E9" s="334" t="str">
        <f t="shared" si="4"/>
        <v/>
      </c>
      <c r="F9" s="334" t="str">
        <f t="shared" si="5"/>
        <v/>
      </c>
      <c r="G9" s="334" t="str">
        <f t="shared" si="6"/>
        <v/>
      </c>
      <c r="H9" s="335"/>
      <c r="I9" s="335"/>
      <c r="J9" s="335"/>
      <c r="K9" s="336"/>
      <c r="L9" s="337"/>
      <c r="M9" s="344"/>
      <c r="O9" s="335"/>
      <c r="P9" s="345"/>
      <c r="Q9" s="475"/>
      <c r="R9" s="476"/>
      <c r="S9" s="343"/>
    </row>
    <row r="10" spans="1:20" ht="13.8">
      <c r="A10" s="334" t="str">
        <f t="shared" si="0"/>
        <v/>
      </c>
      <c r="B10" s="334" t="str">
        <f t="shared" si="1"/>
        <v/>
      </c>
      <c r="C10" s="334" t="str">
        <f t="shared" si="2"/>
        <v/>
      </c>
      <c r="D10" s="334" t="str">
        <f t="shared" si="3"/>
        <v/>
      </c>
      <c r="E10" s="334" t="str">
        <f t="shared" si="4"/>
        <v/>
      </c>
      <c r="F10" s="334" t="str">
        <f t="shared" si="5"/>
        <v/>
      </c>
      <c r="G10" s="334" t="str">
        <f t="shared" si="6"/>
        <v/>
      </c>
      <c r="K10" s="336"/>
      <c r="L10" s="337"/>
      <c r="O10" s="333"/>
      <c r="P10" s="474"/>
      <c r="Q10" s="333"/>
      <c r="R10" s="477"/>
    </row>
    <row r="11" spans="1:20" s="333" customFormat="1" ht="14.4">
      <c r="A11" s="334" t="str">
        <f t="shared" si="0"/>
        <v/>
      </c>
      <c r="B11" s="334" t="str">
        <f t="shared" si="1"/>
        <v/>
      </c>
      <c r="C11" s="334" t="str">
        <f t="shared" si="2"/>
        <v/>
      </c>
      <c r="D11" s="334" t="str">
        <f t="shared" si="3"/>
        <v/>
      </c>
      <c r="E11" s="334" t="str">
        <f t="shared" si="4"/>
        <v/>
      </c>
      <c r="F11" s="334" t="str">
        <f t="shared" si="5"/>
        <v/>
      </c>
      <c r="G11" s="334" t="str">
        <f t="shared" si="6"/>
        <v/>
      </c>
      <c r="H11" s="335"/>
      <c r="I11" s="335"/>
      <c r="J11" s="335"/>
      <c r="K11" s="336"/>
      <c r="L11" s="337"/>
      <c r="M11" s="338"/>
      <c r="O11" s="478"/>
      <c r="P11" s="475"/>
      <c r="Q11" s="476"/>
      <c r="R11" s="476"/>
      <c r="S11" s="341"/>
    </row>
    <row r="12" spans="1:20" ht="14.4">
      <c r="A12" s="334" t="str">
        <f t="shared" si="0"/>
        <v/>
      </c>
      <c r="B12" s="334" t="str">
        <f t="shared" si="1"/>
        <v/>
      </c>
      <c r="C12" s="334" t="str">
        <f t="shared" si="2"/>
        <v/>
      </c>
      <c r="D12" s="334" t="str">
        <f t="shared" si="3"/>
        <v/>
      </c>
      <c r="E12" s="334" t="str">
        <f t="shared" si="4"/>
        <v/>
      </c>
      <c r="F12" s="334" t="str">
        <f t="shared" si="5"/>
        <v/>
      </c>
      <c r="G12" s="334" t="str">
        <f t="shared" si="6"/>
        <v/>
      </c>
      <c r="K12" s="336"/>
      <c r="L12" s="337"/>
      <c r="O12" s="478"/>
      <c r="P12" s="475"/>
      <c r="Q12" s="476"/>
      <c r="R12" s="476"/>
      <c r="S12" s="341"/>
    </row>
    <row r="13" spans="1:20" ht="14.4">
      <c r="A13" s="334" t="str">
        <f t="shared" si="0"/>
        <v/>
      </c>
      <c r="B13" s="334" t="str">
        <f t="shared" si="1"/>
        <v/>
      </c>
      <c r="C13" s="334" t="str">
        <f t="shared" si="2"/>
        <v/>
      </c>
      <c r="D13" s="334" t="str">
        <f t="shared" si="3"/>
        <v/>
      </c>
      <c r="E13" s="334" t="str">
        <f t="shared" si="4"/>
        <v/>
      </c>
      <c r="F13" s="334" t="str">
        <f t="shared" si="5"/>
        <v/>
      </c>
      <c r="G13" s="334" t="str">
        <f t="shared" si="6"/>
        <v/>
      </c>
      <c r="K13" s="479"/>
      <c r="O13" s="478"/>
      <c r="P13" s="475"/>
      <c r="Q13" s="476"/>
      <c r="R13" s="476"/>
      <c r="S13" s="341"/>
    </row>
    <row r="14" spans="1:20" ht="14.4">
      <c r="A14" s="334" t="str">
        <f t="shared" si="0"/>
        <v/>
      </c>
      <c r="B14" s="334" t="str">
        <f t="shared" si="1"/>
        <v/>
      </c>
      <c r="C14" s="334" t="str">
        <f t="shared" si="2"/>
        <v/>
      </c>
      <c r="D14" s="334" t="str">
        <f t="shared" si="3"/>
        <v/>
      </c>
      <c r="E14" s="334" t="str">
        <f t="shared" si="4"/>
        <v/>
      </c>
      <c r="F14" s="334" t="str">
        <f t="shared" si="5"/>
        <v/>
      </c>
      <c r="G14" s="334" t="str">
        <f t="shared" si="6"/>
        <v/>
      </c>
      <c r="H14" s="341"/>
      <c r="I14" s="333"/>
      <c r="J14" s="333"/>
      <c r="K14" s="336"/>
      <c r="L14" s="337"/>
      <c r="M14" s="333"/>
      <c r="N14" s="333"/>
      <c r="O14" s="478"/>
      <c r="P14" s="475"/>
      <c r="Q14" s="476"/>
      <c r="R14" s="476"/>
      <c r="S14" s="341"/>
    </row>
    <row r="15" spans="1:20" ht="13.8">
      <c r="A15" s="334" t="str">
        <f t="shared" si="0"/>
        <v/>
      </c>
      <c r="B15" s="334" t="str">
        <f t="shared" si="1"/>
        <v/>
      </c>
      <c r="C15" s="334" t="str">
        <f t="shared" si="2"/>
        <v/>
      </c>
      <c r="D15" s="334" t="str">
        <f t="shared" si="3"/>
        <v/>
      </c>
      <c r="E15" s="334" t="str">
        <f t="shared" si="4"/>
        <v/>
      </c>
      <c r="F15" s="334" t="str">
        <f t="shared" si="5"/>
        <v/>
      </c>
      <c r="G15" s="334" t="str">
        <f t="shared" si="6"/>
        <v/>
      </c>
      <c r="I15" s="333"/>
      <c r="K15" s="336"/>
      <c r="L15" s="337"/>
      <c r="N15" s="333"/>
    </row>
    <row r="16" spans="1:20" ht="14.4">
      <c r="A16" s="334" t="str">
        <f t="shared" si="0"/>
        <v/>
      </c>
      <c r="B16" s="334" t="str">
        <f t="shared" si="1"/>
        <v/>
      </c>
      <c r="C16" s="334" t="str">
        <f t="shared" si="2"/>
        <v/>
      </c>
      <c r="D16" s="334" t="str">
        <f t="shared" si="3"/>
        <v/>
      </c>
      <c r="E16" s="334" t="str">
        <f t="shared" si="4"/>
        <v/>
      </c>
      <c r="F16" s="334" t="str">
        <f t="shared" si="5"/>
        <v/>
      </c>
      <c r="G16" s="334" t="str">
        <f t="shared" si="6"/>
        <v/>
      </c>
      <c r="K16" s="336"/>
      <c r="L16" s="337"/>
      <c r="O16" s="478"/>
      <c r="P16" s="345"/>
      <c r="Q16" s="475"/>
      <c r="R16" s="476"/>
      <c r="S16" s="345"/>
    </row>
    <row r="17" spans="1:19">
      <c r="A17" s="334" t="str">
        <f t="shared" si="0"/>
        <v/>
      </c>
      <c r="B17" s="334" t="str">
        <f t="shared" si="1"/>
        <v/>
      </c>
      <c r="C17" s="334" t="str">
        <f t="shared" si="2"/>
        <v/>
      </c>
      <c r="D17" s="334" t="str">
        <f t="shared" si="3"/>
        <v/>
      </c>
      <c r="E17" s="334" t="str">
        <f t="shared" si="4"/>
        <v/>
      </c>
      <c r="F17" s="334" t="str">
        <f t="shared" si="5"/>
        <v/>
      </c>
      <c r="G17" s="334" t="str">
        <f t="shared" si="6"/>
        <v/>
      </c>
      <c r="H17" s="480"/>
      <c r="K17" s="336"/>
      <c r="L17" s="337"/>
      <c r="N17" s="333"/>
      <c r="O17" s="478"/>
      <c r="P17" s="345"/>
      <c r="Q17" s="475"/>
      <c r="R17" s="476"/>
      <c r="S17" s="345"/>
    </row>
    <row r="18" spans="1:19" ht="14.4">
      <c r="A18" s="334" t="str">
        <f t="shared" si="0"/>
        <v/>
      </c>
      <c r="B18" s="334" t="str">
        <f t="shared" si="1"/>
        <v/>
      </c>
      <c r="C18" s="334" t="str">
        <f t="shared" si="2"/>
        <v/>
      </c>
      <c r="D18" s="334" t="str">
        <f t="shared" si="3"/>
        <v/>
      </c>
      <c r="E18" s="334" t="str">
        <f t="shared" si="4"/>
        <v/>
      </c>
      <c r="F18" s="334" t="str">
        <f t="shared" si="5"/>
        <v/>
      </c>
      <c r="G18" s="334" t="str">
        <f t="shared" si="6"/>
        <v/>
      </c>
      <c r="K18" s="336"/>
      <c r="L18" s="337"/>
      <c r="O18" s="478"/>
      <c r="P18" s="345"/>
      <c r="Q18" s="475"/>
      <c r="R18" s="476"/>
      <c r="S18" s="345"/>
    </row>
    <row r="19" spans="1:19" ht="14.4">
      <c r="A19" s="334" t="str">
        <f t="shared" si="0"/>
        <v/>
      </c>
      <c r="B19" s="334" t="str">
        <f t="shared" si="1"/>
        <v/>
      </c>
      <c r="C19" s="334" t="str">
        <f t="shared" si="2"/>
        <v/>
      </c>
      <c r="D19" s="334" t="str">
        <f t="shared" si="3"/>
        <v/>
      </c>
      <c r="E19" s="334" t="str">
        <f t="shared" si="4"/>
        <v/>
      </c>
      <c r="F19" s="334" t="str">
        <f t="shared" si="5"/>
        <v/>
      </c>
      <c r="G19" s="334" t="str">
        <f t="shared" si="6"/>
        <v/>
      </c>
      <c r="K19" s="336"/>
      <c r="L19" s="337"/>
      <c r="M19" s="344"/>
      <c r="O19" s="478"/>
      <c r="P19" s="345"/>
      <c r="Q19" s="475"/>
      <c r="R19" s="476"/>
      <c r="S19" s="345"/>
    </row>
    <row r="20" spans="1:19" ht="14.4">
      <c r="A20" s="334" t="str">
        <f t="shared" si="0"/>
        <v/>
      </c>
      <c r="B20" s="334" t="str">
        <f t="shared" si="1"/>
        <v/>
      </c>
      <c r="C20" s="334" t="str">
        <f t="shared" si="2"/>
        <v/>
      </c>
      <c r="D20" s="334" t="str">
        <f t="shared" si="3"/>
        <v/>
      </c>
      <c r="E20" s="334" t="str">
        <f t="shared" si="4"/>
        <v/>
      </c>
      <c r="F20" s="334" t="str">
        <f t="shared" si="5"/>
        <v/>
      </c>
      <c r="G20" s="334" t="str">
        <f t="shared" si="6"/>
        <v/>
      </c>
      <c r="K20" s="336"/>
      <c r="L20" s="337"/>
      <c r="M20" s="344"/>
      <c r="O20" s="478"/>
      <c r="P20" s="345"/>
      <c r="Q20" s="475"/>
      <c r="R20" s="476"/>
      <c r="S20" s="345"/>
    </row>
    <row r="21" spans="1:19" ht="14.4">
      <c r="A21" s="334" t="str">
        <f t="shared" si="0"/>
        <v/>
      </c>
      <c r="B21" s="334" t="str">
        <f t="shared" si="1"/>
        <v/>
      </c>
      <c r="C21" s="334" t="str">
        <f t="shared" si="2"/>
        <v/>
      </c>
      <c r="D21" s="334" t="str">
        <f t="shared" si="3"/>
        <v/>
      </c>
      <c r="E21" s="334" t="str">
        <f t="shared" si="4"/>
        <v/>
      </c>
      <c r="F21" s="334" t="str">
        <f t="shared" si="5"/>
        <v/>
      </c>
      <c r="G21" s="334" t="str">
        <f t="shared" si="6"/>
        <v/>
      </c>
      <c r="K21" s="336"/>
      <c r="L21" s="337"/>
      <c r="M21" s="344"/>
      <c r="O21" s="478"/>
      <c r="P21" s="345"/>
      <c r="Q21" s="475"/>
      <c r="R21" s="476"/>
      <c r="S21" s="345"/>
    </row>
    <row r="22" spans="1:19" ht="14.4">
      <c r="A22" s="334" t="str">
        <f t="shared" si="0"/>
        <v/>
      </c>
      <c r="B22" s="334" t="str">
        <f t="shared" si="1"/>
        <v/>
      </c>
      <c r="C22" s="334" t="str">
        <f t="shared" si="2"/>
        <v/>
      </c>
      <c r="D22" s="334" t="str">
        <f t="shared" si="3"/>
        <v/>
      </c>
      <c r="E22" s="334" t="str">
        <f t="shared" si="4"/>
        <v/>
      </c>
      <c r="F22" s="334" t="str">
        <f t="shared" si="5"/>
        <v/>
      </c>
      <c r="G22" s="334" t="str">
        <f t="shared" si="6"/>
        <v/>
      </c>
      <c r="K22" s="336"/>
      <c r="L22" s="337"/>
      <c r="M22" s="344"/>
      <c r="N22" s="481"/>
      <c r="O22" s="345"/>
      <c r="P22" s="345"/>
      <c r="Q22" s="345"/>
    </row>
    <row r="23" spans="1:19" ht="14.4">
      <c r="A23" s="334" t="str">
        <f t="shared" si="0"/>
        <v/>
      </c>
      <c r="B23" s="334" t="str">
        <f t="shared" si="1"/>
        <v/>
      </c>
      <c r="C23" s="334" t="str">
        <f t="shared" si="2"/>
        <v/>
      </c>
      <c r="D23" s="334" t="str">
        <f t="shared" si="3"/>
        <v/>
      </c>
      <c r="E23" s="334" t="str">
        <f t="shared" si="4"/>
        <v/>
      </c>
      <c r="F23" s="334" t="str">
        <f t="shared" si="5"/>
        <v/>
      </c>
      <c r="G23" s="334" t="str">
        <f t="shared" si="6"/>
        <v/>
      </c>
      <c r="K23" s="336"/>
      <c r="L23" s="337"/>
      <c r="M23" s="344"/>
      <c r="N23" s="481"/>
      <c r="O23" s="345"/>
      <c r="P23" s="345"/>
      <c r="Q23" s="345"/>
    </row>
    <row r="24" spans="1:19" ht="14.4">
      <c r="A24" s="334" t="str">
        <f t="shared" si="0"/>
        <v/>
      </c>
      <c r="B24" s="334" t="str">
        <f t="shared" si="1"/>
        <v/>
      </c>
      <c r="C24" s="334" t="str">
        <f t="shared" si="2"/>
        <v/>
      </c>
      <c r="D24" s="334" t="str">
        <f t="shared" si="3"/>
        <v/>
      </c>
      <c r="E24" s="334" t="str">
        <f t="shared" si="4"/>
        <v/>
      </c>
      <c r="F24" s="334" t="str">
        <f t="shared" si="5"/>
        <v/>
      </c>
      <c r="G24" s="334" t="str">
        <f t="shared" si="6"/>
        <v/>
      </c>
      <c r="K24" s="336"/>
      <c r="L24" s="337"/>
      <c r="M24" s="344"/>
      <c r="N24" s="481"/>
      <c r="O24" s="345"/>
      <c r="P24" s="345"/>
      <c r="Q24" s="345"/>
    </row>
    <row r="25" spans="1:19" ht="14.4">
      <c r="A25" s="334" t="str">
        <f t="shared" si="0"/>
        <v/>
      </c>
      <c r="B25" s="334" t="str">
        <f t="shared" si="1"/>
        <v/>
      </c>
      <c r="C25" s="334" t="str">
        <f t="shared" si="2"/>
        <v/>
      </c>
      <c r="D25" s="334" t="str">
        <f t="shared" si="3"/>
        <v/>
      </c>
      <c r="E25" s="334" t="str">
        <f t="shared" si="4"/>
        <v/>
      </c>
      <c r="F25" s="334" t="str">
        <f t="shared" si="5"/>
        <v/>
      </c>
      <c r="G25" s="334" t="str">
        <f t="shared" si="6"/>
        <v/>
      </c>
      <c r="K25" s="336"/>
      <c r="L25" s="337"/>
      <c r="M25" s="482"/>
      <c r="O25" s="347"/>
      <c r="P25" s="343"/>
      <c r="Q25" s="343"/>
    </row>
    <row r="26" spans="1:19" ht="14.4">
      <c r="A26" s="334" t="str">
        <f t="shared" si="0"/>
        <v/>
      </c>
      <c r="B26" s="334" t="str">
        <f t="shared" si="1"/>
        <v/>
      </c>
      <c r="C26" s="334" t="str">
        <f t="shared" si="2"/>
        <v/>
      </c>
      <c r="D26" s="334" t="str">
        <f t="shared" si="3"/>
        <v/>
      </c>
      <c r="E26" s="334" t="str">
        <f t="shared" si="4"/>
        <v/>
      </c>
      <c r="F26" s="334" t="str">
        <f t="shared" si="5"/>
        <v/>
      </c>
      <c r="G26" s="334" t="str">
        <f t="shared" si="6"/>
        <v/>
      </c>
      <c r="K26" s="336"/>
      <c r="L26" s="337"/>
      <c r="O26" s="347"/>
      <c r="P26" s="343"/>
      <c r="Q26" s="343"/>
    </row>
    <row r="27" spans="1:19" ht="13.8">
      <c r="A27" s="334" t="str">
        <f t="shared" si="0"/>
        <v/>
      </c>
      <c r="B27" s="334" t="str">
        <f t="shared" si="1"/>
        <v/>
      </c>
      <c r="C27" s="334" t="str">
        <f t="shared" si="2"/>
        <v/>
      </c>
      <c r="D27" s="334" t="str">
        <f t="shared" si="3"/>
        <v/>
      </c>
      <c r="E27" s="334" t="str">
        <f t="shared" si="4"/>
        <v/>
      </c>
      <c r="F27" s="334" t="str">
        <f t="shared" si="5"/>
        <v/>
      </c>
      <c r="G27" s="334" t="str">
        <f t="shared" si="6"/>
        <v/>
      </c>
      <c r="K27" s="336"/>
      <c r="L27" s="337"/>
      <c r="N27" s="481"/>
      <c r="O27" s="483"/>
      <c r="P27" s="483"/>
      <c r="Q27" s="483"/>
    </row>
    <row r="28" spans="1:19" ht="14.4">
      <c r="A28" s="334" t="str">
        <f t="shared" si="0"/>
        <v/>
      </c>
      <c r="B28" s="334" t="str">
        <f t="shared" si="1"/>
        <v/>
      </c>
      <c r="C28" s="334" t="str">
        <f t="shared" si="2"/>
        <v/>
      </c>
      <c r="D28" s="334" t="str">
        <f t="shared" si="3"/>
        <v/>
      </c>
      <c r="E28" s="334" t="str">
        <f t="shared" si="4"/>
        <v/>
      </c>
      <c r="F28" s="334" t="str">
        <f t="shared" si="5"/>
        <v/>
      </c>
      <c r="G28" s="334" t="str">
        <f t="shared" si="6"/>
        <v/>
      </c>
      <c r="K28" s="336"/>
      <c r="L28" s="337"/>
      <c r="M28" s="344"/>
      <c r="P28" s="345"/>
      <c r="Q28" s="345"/>
    </row>
    <row r="29" spans="1:19" ht="14.4">
      <c r="A29" s="334" t="str">
        <f t="shared" si="0"/>
        <v/>
      </c>
      <c r="B29" s="334" t="str">
        <f t="shared" si="1"/>
        <v/>
      </c>
      <c r="C29" s="334" t="str">
        <f t="shared" si="2"/>
        <v/>
      </c>
      <c r="D29" s="334" t="str">
        <f t="shared" si="3"/>
        <v/>
      </c>
      <c r="E29" s="334" t="str">
        <f t="shared" si="4"/>
        <v/>
      </c>
      <c r="F29" s="334" t="str">
        <f t="shared" si="5"/>
        <v/>
      </c>
      <c r="G29" s="334" t="str">
        <f t="shared" si="6"/>
        <v/>
      </c>
      <c r="K29" s="336"/>
      <c r="L29" s="337"/>
      <c r="O29" s="347"/>
      <c r="P29" s="345"/>
      <c r="Q29" s="345"/>
    </row>
    <row r="30" spans="1:19" ht="13.8">
      <c r="A30" s="334" t="str">
        <f t="shared" si="0"/>
        <v/>
      </c>
      <c r="B30" s="334" t="str">
        <f t="shared" si="1"/>
        <v/>
      </c>
      <c r="C30" s="334" t="str">
        <f t="shared" si="2"/>
        <v/>
      </c>
      <c r="D30" s="334" t="str">
        <f t="shared" si="3"/>
        <v/>
      </c>
      <c r="E30" s="334" t="str">
        <f t="shared" si="4"/>
        <v/>
      </c>
      <c r="F30" s="334" t="str">
        <f t="shared" si="5"/>
        <v/>
      </c>
      <c r="G30" s="334" t="str">
        <f t="shared" si="6"/>
        <v/>
      </c>
      <c r="K30" s="336"/>
      <c r="L30" s="337"/>
      <c r="N30" s="346"/>
      <c r="O30" s="347"/>
      <c r="P30" s="347"/>
      <c r="Q30" s="347"/>
    </row>
    <row r="31" spans="1:19" ht="13.8">
      <c r="A31" s="334" t="str">
        <f t="shared" si="0"/>
        <v/>
      </c>
      <c r="B31" s="334" t="str">
        <f t="shared" si="1"/>
        <v/>
      </c>
      <c r="C31" s="334" t="str">
        <f t="shared" si="2"/>
        <v/>
      </c>
      <c r="D31" s="334" t="str">
        <f t="shared" si="3"/>
        <v/>
      </c>
      <c r="E31" s="334" t="str">
        <f t="shared" si="4"/>
        <v/>
      </c>
      <c r="F31" s="334" t="str">
        <f t="shared" si="5"/>
        <v/>
      </c>
      <c r="G31" s="334" t="str">
        <f t="shared" si="6"/>
        <v/>
      </c>
      <c r="K31" s="336"/>
      <c r="L31" s="337"/>
      <c r="N31" s="346"/>
      <c r="O31" s="338"/>
    </row>
    <row r="32" spans="1:19" ht="13.8">
      <c r="A32" s="334" t="str">
        <f t="shared" si="0"/>
        <v/>
      </c>
      <c r="B32" s="334" t="str">
        <f t="shared" si="1"/>
        <v/>
      </c>
      <c r="C32" s="334" t="str">
        <f t="shared" si="2"/>
        <v/>
      </c>
      <c r="D32" s="334" t="str">
        <f t="shared" si="3"/>
        <v/>
      </c>
      <c r="E32" s="334" t="str">
        <f t="shared" si="4"/>
        <v/>
      </c>
      <c r="F32" s="334" t="str">
        <f t="shared" si="5"/>
        <v/>
      </c>
      <c r="G32" s="334" t="str">
        <f t="shared" si="6"/>
        <v/>
      </c>
      <c r="K32" s="336"/>
      <c r="L32" s="337"/>
      <c r="M32" s="473"/>
      <c r="O32" s="338"/>
    </row>
    <row r="33" spans="1:15" ht="13.8">
      <c r="A33" s="334" t="str">
        <f t="shared" si="0"/>
        <v/>
      </c>
      <c r="B33" s="334" t="str">
        <f t="shared" si="1"/>
        <v/>
      </c>
      <c r="C33" s="334" t="str">
        <f t="shared" si="2"/>
        <v/>
      </c>
      <c r="D33" s="334" t="str">
        <f t="shared" si="3"/>
        <v/>
      </c>
      <c r="E33" s="334" t="str">
        <f t="shared" si="4"/>
        <v/>
      </c>
      <c r="F33" s="334" t="str">
        <f t="shared" si="5"/>
        <v/>
      </c>
      <c r="G33" s="334" t="str">
        <f t="shared" si="6"/>
        <v/>
      </c>
      <c r="K33" s="336"/>
      <c r="L33" s="337"/>
      <c r="M33" s="348"/>
      <c r="O33" s="338"/>
    </row>
    <row r="34" spans="1:15" ht="13.8">
      <c r="A34" s="334" t="str">
        <f t="shared" si="0"/>
        <v/>
      </c>
      <c r="B34" s="334" t="str">
        <f t="shared" si="1"/>
        <v/>
      </c>
      <c r="C34" s="334" t="str">
        <f t="shared" si="2"/>
        <v/>
      </c>
      <c r="D34" s="334" t="str">
        <f t="shared" si="3"/>
        <v/>
      </c>
      <c r="E34" s="334" t="str">
        <f t="shared" si="4"/>
        <v/>
      </c>
      <c r="F34" s="334" t="str">
        <f t="shared" si="5"/>
        <v/>
      </c>
      <c r="G34" s="334" t="str">
        <f t="shared" si="6"/>
        <v/>
      </c>
      <c r="K34" s="336"/>
      <c r="L34" s="337"/>
      <c r="O34" s="338"/>
    </row>
    <row r="35" spans="1:15" ht="13.8">
      <c r="A35" s="334" t="str">
        <f t="shared" si="0"/>
        <v/>
      </c>
      <c r="B35" s="334" t="str">
        <f t="shared" si="1"/>
        <v/>
      </c>
      <c r="C35" s="334" t="str">
        <f t="shared" si="2"/>
        <v/>
      </c>
      <c r="D35" s="334" t="str">
        <f t="shared" si="3"/>
        <v/>
      </c>
      <c r="E35" s="334" t="str">
        <f t="shared" si="4"/>
        <v/>
      </c>
      <c r="F35" s="334" t="str">
        <f t="shared" si="5"/>
        <v/>
      </c>
      <c r="G35" s="334" t="str">
        <f t="shared" si="6"/>
        <v/>
      </c>
      <c r="K35" s="336"/>
      <c r="L35" s="337"/>
      <c r="O35" s="338"/>
    </row>
    <row r="36" spans="1:15" ht="13.8">
      <c r="A36" s="334" t="str">
        <f t="shared" si="0"/>
        <v/>
      </c>
      <c r="B36" s="334" t="str">
        <f t="shared" si="1"/>
        <v/>
      </c>
      <c r="C36" s="334" t="str">
        <f t="shared" si="2"/>
        <v/>
      </c>
      <c r="D36" s="334" t="str">
        <f t="shared" si="3"/>
        <v/>
      </c>
      <c r="E36" s="334" t="str">
        <f t="shared" si="4"/>
        <v/>
      </c>
      <c r="F36" s="334" t="str">
        <f t="shared" si="5"/>
        <v/>
      </c>
      <c r="G36" s="334" t="str">
        <f t="shared" si="6"/>
        <v/>
      </c>
      <c r="K36" s="336"/>
      <c r="L36" s="337"/>
      <c r="O36" s="338"/>
    </row>
    <row r="37" spans="1:15" ht="13.8">
      <c r="A37" s="334" t="str">
        <f t="shared" si="0"/>
        <v/>
      </c>
      <c r="B37" s="334" t="str">
        <f t="shared" si="1"/>
        <v/>
      </c>
      <c r="C37" s="334" t="str">
        <f t="shared" si="2"/>
        <v/>
      </c>
      <c r="D37" s="334" t="str">
        <f t="shared" si="3"/>
        <v/>
      </c>
      <c r="E37" s="334" t="str">
        <f t="shared" si="4"/>
        <v/>
      </c>
      <c r="F37" s="334" t="str">
        <f t="shared" si="5"/>
        <v/>
      </c>
      <c r="G37" s="334" t="str">
        <f t="shared" si="6"/>
        <v/>
      </c>
      <c r="K37" s="336"/>
      <c r="L37" s="337"/>
    </row>
    <row r="38" spans="1:15" ht="13.8">
      <c r="A38" s="334" t="str">
        <f t="shared" si="0"/>
        <v/>
      </c>
      <c r="B38" s="334" t="str">
        <f t="shared" si="1"/>
        <v/>
      </c>
      <c r="C38" s="334" t="str">
        <f t="shared" si="2"/>
        <v/>
      </c>
      <c r="D38" s="334" t="str">
        <f t="shared" si="3"/>
        <v/>
      </c>
      <c r="E38" s="334" t="str">
        <f t="shared" si="4"/>
        <v/>
      </c>
      <c r="F38" s="334" t="str">
        <f t="shared" si="5"/>
        <v/>
      </c>
      <c r="G38" s="334" t="str">
        <f t="shared" si="6"/>
        <v/>
      </c>
      <c r="K38" s="336"/>
      <c r="L38" s="337"/>
      <c r="M38" s="344"/>
    </row>
    <row r="39" spans="1:15" ht="13.8">
      <c r="A39" s="334" t="str">
        <f t="shared" si="0"/>
        <v/>
      </c>
      <c r="B39" s="334" t="str">
        <f t="shared" si="1"/>
        <v/>
      </c>
      <c r="C39" s="334" t="str">
        <f t="shared" si="2"/>
        <v/>
      </c>
      <c r="D39" s="334" t="str">
        <f t="shared" si="3"/>
        <v/>
      </c>
      <c r="E39" s="334" t="str">
        <f t="shared" si="4"/>
        <v/>
      </c>
      <c r="F39" s="334" t="str">
        <f t="shared" si="5"/>
        <v/>
      </c>
      <c r="G39" s="334" t="str">
        <f t="shared" si="6"/>
        <v/>
      </c>
      <c r="K39" s="336"/>
      <c r="L39" s="337"/>
    </row>
    <row r="40" spans="1:15" ht="13.8">
      <c r="A40" s="334" t="str">
        <f t="shared" si="0"/>
        <v/>
      </c>
      <c r="B40" s="334" t="str">
        <f t="shared" si="1"/>
        <v/>
      </c>
      <c r="C40" s="334" t="str">
        <f t="shared" si="2"/>
        <v/>
      </c>
      <c r="D40" s="334" t="str">
        <f t="shared" si="3"/>
        <v/>
      </c>
      <c r="E40" s="334" t="str">
        <f t="shared" si="4"/>
        <v/>
      </c>
      <c r="F40" s="334" t="str">
        <f t="shared" si="5"/>
        <v/>
      </c>
      <c r="G40" s="334" t="str">
        <f t="shared" si="6"/>
        <v/>
      </c>
      <c r="K40" s="336"/>
      <c r="L40" s="337"/>
    </row>
    <row r="41" spans="1:15" ht="13.8">
      <c r="A41" s="334" t="str">
        <f t="shared" si="0"/>
        <v/>
      </c>
      <c r="B41" s="334" t="str">
        <f t="shared" si="1"/>
        <v/>
      </c>
      <c r="C41" s="334" t="str">
        <f t="shared" si="2"/>
        <v/>
      </c>
      <c r="D41" s="334" t="str">
        <f t="shared" si="3"/>
        <v/>
      </c>
      <c r="E41" s="334" t="str">
        <f t="shared" si="4"/>
        <v/>
      </c>
      <c r="F41" s="334" t="str">
        <f t="shared" si="5"/>
        <v/>
      </c>
      <c r="G41" s="334" t="str">
        <f t="shared" si="6"/>
        <v/>
      </c>
      <c r="K41" s="336"/>
      <c r="L41" s="337"/>
    </row>
    <row r="42" spans="1:15" ht="13.8">
      <c r="A42" s="334" t="str">
        <f t="shared" si="0"/>
        <v/>
      </c>
      <c r="B42" s="334" t="str">
        <f t="shared" si="1"/>
        <v/>
      </c>
      <c r="C42" s="334" t="str">
        <f t="shared" si="2"/>
        <v/>
      </c>
      <c r="D42" s="334" t="str">
        <f t="shared" si="3"/>
        <v/>
      </c>
      <c r="E42" s="334" t="str">
        <f t="shared" si="4"/>
        <v/>
      </c>
      <c r="F42" s="334" t="str">
        <f t="shared" si="5"/>
        <v/>
      </c>
      <c r="G42" s="334" t="str">
        <f t="shared" si="6"/>
        <v/>
      </c>
      <c r="K42" s="336"/>
      <c r="L42" s="337"/>
    </row>
    <row r="43" spans="1:15" ht="13.8">
      <c r="A43" s="334" t="str">
        <f t="shared" si="0"/>
        <v/>
      </c>
      <c r="B43" s="334" t="str">
        <f t="shared" si="1"/>
        <v/>
      </c>
      <c r="C43" s="334" t="str">
        <f t="shared" si="2"/>
        <v/>
      </c>
      <c r="D43" s="334" t="str">
        <f t="shared" si="3"/>
        <v/>
      </c>
      <c r="E43" s="334" t="str">
        <f t="shared" si="4"/>
        <v/>
      </c>
      <c r="F43" s="334" t="str">
        <f t="shared" si="5"/>
        <v/>
      </c>
      <c r="G43" s="334" t="str">
        <f t="shared" si="6"/>
        <v/>
      </c>
      <c r="K43" s="336"/>
      <c r="L43" s="337"/>
    </row>
    <row r="44" spans="1:15" ht="13.8">
      <c r="A44" s="334" t="str">
        <f t="shared" si="0"/>
        <v/>
      </c>
      <c r="B44" s="334" t="str">
        <f t="shared" si="1"/>
        <v/>
      </c>
      <c r="C44" s="334" t="str">
        <f t="shared" si="2"/>
        <v/>
      </c>
      <c r="D44" s="334" t="str">
        <f t="shared" si="3"/>
        <v/>
      </c>
      <c r="E44" s="334" t="str">
        <f t="shared" si="4"/>
        <v/>
      </c>
      <c r="F44" s="334" t="str">
        <f t="shared" si="5"/>
        <v/>
      </c>
      <c r="G44" s="334" t="str">
        <f t="shared" si="6"/>
        <v/>
      </c>
      <c r="K44" s="336"/>
      <c r="L44" s="337"/>
    </row>
    <row r="45" spans="1:15" ht="13.8">
      <c r="A45" s="334" t="str">
        <f t="shared" si="0"/>
        <v/>
      </c>
      <c r="B45" s="334" t="str">
        <f t="shared" si="1"/>
        <v/>
      </c>
      <c r="C45" s="334" t="str">
        <f t="shared" si="2"/>
        <v/>
      </c>
      <c r="D45" s="334" t="str">
        <f t="shared" si="3"/>
        <v/>
      </c>
      <c r="E45" s="334" t="str">
        <f t="shared" si="4"/>
        <v/>
      </c>
      <c r="F45" s="334" t="str">
        <f t="shared" si="5"/>
        <v/>
      </c>
      <c r="G45" s="334" t="str">
        <f t="shared" si="6"/>
        <v/>
      </c>
      <c r="K45" s="336"/>
      <c r="L45" s="337"/>
      <c r="M45" s="344"/>
    </row>
    <row r="46" spans="1:15" ht="13.8">
      <c r="A46" s="334" t="str">
        <f t="shared" si="0"/>
        <v/>
      </c>
      <c r="B46" s="334" t="str">
        <f t="shared" si="1"/>
        <v/>
      </c>
      <c r="C46" s="334" t="str">
        <f t="shared" si="2"/>
        <v/>
      </c>
      <c r="D46" s="334" t="str">
        <f t="shared" si="3"/>
        <v/>
      </c>
      <c r="E46" s="334" t="str">
        <f t="shared" si="4"/>
        <v/>
      </c>
      <c r="F46" s="334" t="str">
        <f t="shared" si="5"/>
        <v/>
      </c>
      <c r="G46" s="334" t="str">
        <f t="shared" si="6"/>
        <v/>
      </c>
      <c r="K46" s="336"/>
      <c r="L46" s="337"/>
      <c r="M46" s="344"/>
    </row>
    <row r="47" spans="1:15" ht="13.8">
      <c r="A47" s="334" t="str">
        <f t="shared" si="0"/>
        <v/>
      </c>
      <c r="B47" s="334" t="str">
        <f t="shared" si="1"/>
        <v/>
      </c>
      <c r="C47" s="334" t="str">
        <f t="shared" si="2"/>
        <v/>
      </c>
      <c r="D47" s="334" t="str">
        <f t="shared" si="3"/>
        <v/>
      </c>
      <c r="E47" s="334" t="str">
        <f t="shared" si="4"/>
        <v/>
      </c>
      <c r="F47" s="334" t="str">
        <f t="shared" si="5"/>
        <v/>
      </c>
      <c r="G47" s="334" t="str">
        <f t="shared" si="6"/>
        <v/>
      </c>
      <c r="K47" s="336"/>
      <c r="L47" s="337"/>
      <c r="M47" s="344"/>
    </row>
    <row r="48" spans="1:15" ht="13.8">
      <c r="A48" s="334" t="str">
        <f t="shared" si="0"/>
        <v/>
      </c>
      <c r="B48" s="334" t="str">
        <f t="shared" si="1"/>
        <v/>
      </c>
      <c r="C48" s="334" t="str">
        <f t="shared" si="2"/>
        <v/>
      </c>
      <c r="D48" s="334" t="str">
        <f t="shared" si="3"/>
        <v/>
      </c>
      <c r="E48" s="334" t="str">
        <f t="shared" si="4"/>
        <v/>
      </c>
      <c r="F48" s="334" t="str">
        <f t="shared" si="5"/>
        <v/>
      </c>
      <c r="G48" s="334" t="str">
        <f t="shared" si="6"/>
        <v/>
      </c>
      <c r="K48" s="336"/>
      <c r="L48" s="337"/>
    </row>
    <row r="49" spans="1:13" ht="13.8">
      <c r="A49" s="334" t="str">
        <f t="shared" si="0"/>
        <v/>
      </c>
      <c r="B49" s="334" t="str">
        <f t="shared" si="1"/>
        <v/>
      </c>
      <c r="C49" s="334" t="str">
        <f t="shared" si="2"/>
        <v/>
      </c>
      <c r="D49" s="334" t="str">
        <f t="shared" si="3"/>
        <v/>
      </c>
      <c r="E49" s="334" t="str">
        <f t="shared" si="4"/>
        <v/>
      </c>
      <c r="F49" s="334" t="str">
        <f t="shared" si="5"/>
        <v/>
      </c>
      <c r="G49" s="334" t="str">
        <f t="shared" si="6"/>
        <v/>
      </c>
      <c r="K49" s="336"/>
      <c r="L49" s="337"/>
      <c r="M49" s="349"/>
    </row>
    <row r="50" spans="1:13" ht="13.8">
      <c r="A50" s="334" t="str">
        <f t="shared" si="0"/>
        <v/>
      </c>
      <c r="B50" s="334" t="str">
        <f t="shared" si="1"/>
        <v/>
      </c>
      <c r="C50" s="334" t="str">
        <f t="shared" si="2"/>
        <v/>
      </c>
      <c r="D50" s="334" t="str">
        <f t="shared" si="3"/>
        <v/>
      </c>
      <c r="E50" s="334" t="str">
        <f t="shared" si="4"/>
        <v/>
      </c>
      <c r="F50" s="334" t="str">
        <f t="shared" si="5"/>
        <v/>
      </c>
      <c r="G50" s="334" t="str">
        <f t="shared" si="6"/>
        <v/>
      </c>
      <c r="K50" s="336"/>
      <c r="L50" s="337"/>
    </row>
    <row r="51" spans="1:13" ht="13.8">
      <c r="A51" s="334" t="str">
        <f t="shared" si="0"/>
        <v/>
      </c>
      <c r="B51" s="334" t="str">
        <f t="shared" si="1"/>
        <v/>
      </c>
      <c r="C51" s="334" t="str">
        <f t="shared" si="2"/>
        <v/>
      </c>
      <c r="D51" s="334" t="str">
        <f t="shared" si="3"/>
        <v/>
      </c>
      <c r="E51" s="334" t="str">
        <f t="shared" si="4"/>
        <v/>
      </c>
      <c r="F51" s="334" t="str">
        <f t="shared" si="5"/>
        <v/>
      </c>
      <c r="G51" s="334" t="str">
        <f t="shared" si="6"/>
        <v/>
      </c>
    </row>
    <row r="52" spans="1:13" ht="13.8">
      <c r="A52" s="334" t="str">
        <f t="shared" si="0"/>
        <v/>
      </c>
      <c r="B52" s="334" t="str">
        <f t="shared" si="1"/>
        <v/>
      </c>
      <c r="C52" s="334" t="str">
        <f t="shared" si="2"/>
        <v/>
      </c>
      <c r="D52" s="334" t="str">
        <f t="shared" si="3"/>
        <v/>
      </c>
      <c r="E52" s="334" t="str">
        <f t="shared" si="4"/>
        <v/>
      </c>
      <c r="F52" s="334" t="str">
        <f t="shared" si="5"/>
        <v/>
      </c>
      <c r="G52" s="334" t="str">
        <f t="shared" si="6"/>
        <v/>
      </c>
    </row>
    <row r="53" spans="1:13" ht="13.8">
      <c r="A53" s="334" t="str">
        <f t="shared" ref="A53:A63" si="7">IF(LEN(C53)+LEN(D53)+LEN(E53)+LEN(F53)&gt;0, I53, "")</f>
        <v/>
      </c>
      <c r="B53" s="334" t="str">
        <f t="shared" ref="B53:B63" si="8">IF(LEN(C53)+LEN(D53)+LEN(E53)+LEN(F53)&gt;0, H53, "")</f>
        <v/>
      </c>
      <c r="C53" s="334" t="str">
        <f t="shared" ref="C53:C63" si="9">IF(K53="textfield", G53, "")</f>
        <v/>
      </c>
      <c r="D53" s="334" t="str">
        <f t="shared" ref="D53:D63" si="10">IF(K53="radiobutton",G53,IF(K53="checkbox",G53,IF(K53="dropdown",G53,"")))</f>
        <v/>
      </c>
      <c r="E53" s="334" t="str">
        <f t="shared" ref="E53:E63" si="11">IF(K53="richtextfield", G53, "")</f>
        <v/>
      </c>
      <c r="F53" s="334" t="str">
        <f t="shared" ref="F53:F63" si="12">IF(K53="table", G53, IF(K53="fixed_table",G53,""))</f>
        <v/>
      </c>
      <c r="G53" s="334" t="str">
        <f t="shared" ref="G53:G63" si="13">IFERROR(IF(LEN(M53)=0, "", IF(L53="pct",TEXT(M53,"0.00%"),IF(L53="currency",TEXT(M53,"###0.00"),IF(L53="date", TEXT(M53,"YYYY-MM-DD"), IF(L53="float2", TEXT(M53,"0.00"), M53))))),"")</f>
        <v/>
      </c>
      <c r="K53" s="336"/>
      <c r="L53" s="337"/>
    </row>
    <row r="54" spans="1:13" ht="13.8">
      <c r="A54" s="334" t="str">
        <f t="shared" si="7"/>
        <v/>
      </c>
      <c r="B54" s="334" t="str">
        <f t="shared" si="8"/>
        <v/>
      </c>
      <c r="C54" s="334" t="str">
        <f t="shared" si="9"/>
        <v/>
      </c>
      <c r="D54" s="334" t="str">
        <f t="shared" si="10"/>
        <v/>
      </c>
      <c r="E54" s="334" t="str">
        <f t="shared" si="11"/>
        <v/>
      </c>
      <c r="F54" s="334" t="str">
        <f t="shared" si="12"/>
        <v/>
      </c>
      <c r="G54" s="334" t="str">
        <f t="shared" si="13"/>
        <v/>
      </c>
      <c r="K54" s="336"/>
      <c r="L54" s="337"/>
    </row>
    <row r="55" spans="1:13" ht="13.8">
      <c r="A55" s="334" t="str">
        <f t="shared" si="7"/>
        <v/>
      </c>
      <c r="B55" s="334" t="str">
        <f t="shared" si="8"/>
        <v/>
      </c>
      <c r="C55" s="334" t="str">
        <f t="shared" si="9"/>
        <v/>
      </c>
      <c r="D55" s="334" t="str">
        <f t="shared" si="10"/>
        <v/>
      </c>
      <c r="E55" s="334" t="str">
        <f t="shared" si="11"/>
        <v/>
      </c>
      <c r="F55" s="334" t="str">
        <f t="shared" si="12"/>
        <v/>
      </c>
      <c r="G55" s="334" t="str">
        <f t="shared" si="13"/>
        <v/>
      </c>
      <c r="K55" s="336"/>
      <c r="L55" s="337"/>
    </row>
    <row r="56" spans="1:13" ht="13.8">
      <c r="A56" s="334" t="str">
        <f t="shared" si="7"/>
        <v/>
      </c>
      <c r="B56" s="334" t="str">
        <f t="shared" si="8"/>
        <v/>
      </c>
      <c r="C56" s="334" t="str">
        <f t="shared" si="9"/>
        <v/>
      </c>
      <c r="D56" s="334" t="str">
        <f t="shared" si="10"/>
        <v/>
      </c>
      <c r="E56" s="334" t="str">
        <f t="shared" si="11"/>
        <v/>
      </c>
      <c r="F56" s="334" t="str">
        <f t="shared" si="12"/>
        <v/>
      </c>
      <c r="G56" s="334" t="str">
        <f t="shared" si="13"/>
        <v/>
      </c>
      <c r="K56" s="336"/>
      <c r="L56" s="337"/>
    </row>
    <row r="57" spans="1:13" ht="13.8">
      <c r="A57" s="334" t="str">
        <f t="shared" si="7"/>
        <v/>
      </c>
      <c r="B57" s="334" t="str">
        <f t="shared" si="8"/>
        <v/>
      </c>
      <c r="C57" s="334" t="str">
        <f t="shared" si="9"/>
        <v/>
      </c>
      <c r="D57" s="334" t="str">
        <f t="shared" si="10"/>
        <v/>
      </c>
      <c r="E57" s="334" t="str">
        <f t="shared" si="11"/>
        <v/>
      </c>
      <c r="F57" s="334" t="str">
        <f t="shared" si="12"/>
        <v/>
      </c>
      <c r="G57" s="334" t="str">
        <f t="shared" si="13"/>
        <v/>
      </c>
      <c r="K57" s="336"/>
      <c r="L57" s="337"/>
    </row>
    <row r="58" spans="1:13" ht="13.8">
      <c r="A58" s="334" t="str">
        <f t="shared" si="7"/>
        <v/>
      </c>
      <c r="B58" s="334" t="str">
        <f t="shared" si="8"/>
        <v/>
      </c>
      <c r="C58" s="334" t="str">
        <f t="shared" si="9"/>
        <v/>
      </c>
      <c r="D58" s="334" t="str">
        <f t="shared" si="10"/>
        <v/>
      </c>
      <c r="E58" s="334" t="str">
        <f t="shared" si="11"/>
        <v/>
      </c>
      <c r="F58" s="334" t="str">
        <f t="shared" si="12"/>
        <v/>
      </c>
      <c r="G58" s="334" t="str">
        <f t="shared" si="13"/>
        <v/>
      </c>
      <c r="K58" s="336"/>
      <c r="L58" s="337"/>
    </row>
    <row r="59" spans="1:13" ht="13.8">
      <c r="A59" s="334" t="str">
        <f t="shared" si="7"/>
        <v/>
      </c>
      <c r="B59" s="334" t="str">
        <f t="shared" si="8"/>
        <v/>
      </c>
      <c r="C59" s="334" t="str">
        <f t="shared" si="9"/>
        <v/>
      </c>
      <c r="D59" s="334" t="str">
        <f t="shared" si="10"/>
        <v/>
      </c>
      <c r="E59" s="334" t="str">
        <f t="shared" si="11"/>
        <v/>
      </c>
      <c r="F59" s="334" t="str">
        <f t="shared" si="12"/>
        <v/>
      </c>
      <c r="G59" s="334" t="str">
        <f t="shared" si="13"/>
        <v/>
      </c>
      <c r="K59" s="336"/>
      <c r="L59" s="337"/>
    </row>
    <row r="60" spans="1:13" ht="13.8">
      <c r="A60" s="334" t="str">
        <f t="shared" si="7"/>
        <v/>
      </c>
      <c r="B60" s="334" t="str">
        <f t="shared" si="8"/>
        <v/>
      </c>
      <c r="C60" s="334" t="str">
        <f t="shared" si="9"/>
        <v/>
      </c>
      <c r="D60" s="334" t="str">
        <f t="shared" si="10"/>
        <v/>
      </c>
      <c r="E60" s="334" t="str">
        <f t="shared" si="11"/>
        <v/>
      </c>
      <c r="F60" s="334" t="str">
        <f t="shared" si="12"/>
        <v/>
      </c>
      <c r="G60" s="334" t="str">
        <f t="shared" si="13"/>
        <v/>
      </c>
      <c r="K60" s="336"/>
      <c r="L60" s="337"/>
    </row>
    <row r="61" spans="1:13" ht="13.8">
      <c r="A61" s="334" t="str">
        <f t="shared" si="7"/>
        <v/>
      </c>
      <c r="B61" s="334" t="str">
        <f t="shared" si="8"/>
        <v/>
      </c>
      <c r="C61" s="334" t="str">
        <f t="shared" si="9"/>
        <v/>
      </c>
      <c r="D61" s="334" t="str">
        <f t="shared" si="10"/>
        <v/>
      </c>
      <c r="E61" s="334" t="str">
        <f t="shared" si="11"/>
        <v/>
      </c>
      <c r="F61" s="334" t="str">
        <f t="shared" si="12"/>
        <v/>
      </c>
      <c r="G61" s="334" t="str">
        <f t="shared" si="13"/>
        <v/>
      </c>
      <c r="K61" s="336"/>
      <c r="L61" s="337"/>
    </row>
    <row r="62" spans="1:13" ht="13.8">
      <c r="A62" s="334" t="str">
        <f t="shared" si="7"/>
        <v/>
      </c>
      <c r="B62" s="334" t="str">
        <f t="shared" si="8"/>
        <v/>
      </c>
      <c r="C62" s="334" t="str">
        <f t="shared" si="9"/>
        <v/>
      </c>
      <c r="D62" s="334" t="str">
        <f t="shared" si="10"/>
        <v/>
      </c>
      <c r="E62" s="334" t="str">
        <f t="shared" si="11"/>
        <v/>
      </c>
      <c r="F62" s="334" t="str">
        <f t="shared" si="12"/>
        <v/>
      </c>
      <c r="G62" s="334" t="str">
        <f t="shared" si="13"/>
        <v/>
      </c>
      <c r="K62" s="336"/>
      <c r="L62" s="337"/>
    </row>
    <row r="63" spans="1:13" ht="13.8">
      <c r="A63" s="334" t="str">
        <f t="shared" si="7"/>
        <v/>
      </c>
      <c r="B63" s="334" t="str">
        <f t="shared" si="8"/>
        <v/>
      </c>
      <c r="C63" s="334" t="str">
        <f t="shared" si="9"/>
        <v/>
      </c>
      <c r="D63" s="334" t="str">
        <f t="shared" si="10"/>
        <v/>
      </c>
      <c r="E63" s="334" t="str">
        <f t="shared" si="11"/>
        <v/>
      </c>
      <c r="F63" s="334" t="str">
        <f t="shared" si="12"/>
        <v/>
      </c>
      <c r="G63" s="334" t="str">
        <f t="shared" si="13"/>
        <v/>
      </c>
      <c r="K63" s="336"/>
      <c r="L63" s="337"/>
    </row>
    <row r="64" spans="1:13" ht="13.8">
      <c r="A64" s="334" t="str">
        <f t="shared" ref="A64:A127" si="14">IF(LEN(C64)+LEN(D64)+LEN(E64)+LEN(F64)&gt;0, I64, "")</f>
        <v/>
      </c>
      <c r="B64" s="334" t="str">
        <f t="shared" ref="B64:B127" si="15">IF(LEN(C64)+LEN(D64)+LEN(E64)+LEN(F64)&gt;0, H64, "")</f>
        <v/>
      </c>
      <c r="C64" s="334" t="str">
        <f t="shared" ref="C64:C127" si="16">IF(K64="textfield", G64, "")</f>
        <v/>
      </c>
      <c r="D64" s="334" t="str">
        <f t="shared" ref="D64:D127" si="17">IF(K64="radiobutton",G64,IF(K64="checkbox",G64,IF(K64="dropdown",G64,"")))</f>
        <v/>
      </c>
      <c r="E64" s="334" t="str">
        <f t="shared" ref="E64:E127" si="18">IF(K64="richtextfield", G64, "")</f>
        <v/>
      </c>
      <c r="F64" s="334" t="str">
        <f t="shared" ref="F64:F127" si="19">IF(K64="table", G64, IF(K64="fixed_table",G64,""))</f>
        <v/>
      </c>
      <c r="G64" s="334" t="str">
        <f t="shared" ref="G64:G127" si="20">IFERROR(IF(LEN(M64)=0, "", IF(L64="pct",TEXT(M64,"0.00%"),IF(L64="currency",TEXT(M64,"###0.00"),IF(L64="date", TEXT(M64,"YYYY-MM-DD"), IF(L64="float2", TEXT(M64,"0.00"), M64))))),"")</f>
        <v/>
      </c>
      <c r="K64" s="336"/>
      <c r="L64" s="337"/>
    </row>
    <row r="65" spans="1:19" ht="13.8">
      <c r="A65" s="334" t="str">
        <f t="shared" si="14"/>
        <v/>
      </c>
      <c r="B65" s="334" t="str">
        <f t="shared" si="15"/>
        <v/>
      </c>
      <c r="C65" s="334" t="str">
        <f t="shared" si="16"/>
        <v/>
      </c>
      <c r="D65" s="334" t="str">
        <f t="shared" si="17"/>
        <v/>
      </c>
      <c r="E65" s="334" t="str">
        <f t="shared" si="18"/>
        <v/>
      </c>
      <c r="F65" s="334" t="str">
        <f t="shared" si="19"/>
        <v/>
      </c>
      <c r="G65" s="334" t="str">
        <f t="shared" si="20"/>
        <v/>
      </c>
      <c r="K65" s="336"/>
      <c r="L65" s="337"/>
    </row>
    <row r="66" spans="1:19" ht="13.8">
      <c r="A66" s="334" t="str">
        <f t="shared" si="14"/>
        <v/>
      </c>
      <c r="B66" s="334" t="str">
        <f t="shared" si="15"/>
        <v/>
      </c>
      <c r="C66" s="334" t="str">
        <f t="shared" si="16"/>
        <v/>
      </c>
      <c r="D66" s="334" t="str">
        <f t="shared" si="17"/>
        <v/>
      </c>
      <c r="E66" s="334" t="str">
        <f t="shared" si="18"/>
        <v/>
      </c>
      <c r="F66" s="334" t="str">
        <f t="shared" si="19"/>
        <v/>
      </c>
      <c r="G66" s="334" t="str">
        <f t="shared" si="20"/>
        <v/>
      </c>
      <c r="K66" s="336"/>
      <c r="L66" s="337"/>
    </row>
    <row r="67" spans="1:19" ht="13.8">
      <c r="A67" s="334" t="str">
        <f t="shared" si="14"/>
        <v/>
      </c>
      <c r="B67" s="334" t="str">
        <f t="shared" si="15"/>
        <v/>
      </c>
      <c r="C67" s="334" t="str">
        <f t="shared" si="16"/>
        <v/>
      </c>
      <c r="D67" s="334" t="str">
        <f t="shared" si="17"/>
        <v/>
      </c>
      <c r="E67" s="334" t="str">
        <f t="shared" si="18"/>
        <v/>
      </c>
      <c r="F67" s="334" t="str">
        <f t="shared" si="19"/>
        <v/>
      </c>
      <c r="G67" s="334" t="str">
        <f t="shared" si="20"/>
        <v/>
      </c>
      <c r="K67" s="336"/>
      <c r="L67" s="337"/>
    </row>
    <row r="68" spans="1:19" ht="13.8">
      <c r="A68" s="334" t="str">
        <f t="shared" si="14"/>
        <v/>
      </c>
      <c r="B68" s="334" t="str">
        <f t="shared" si="15"/>
        <v/>
      </c>
      <c r="C68" s="334" t="str">
        <f t="shared" si="16"/>
        <v/>
      </c>
      <c r="D68" s="334" t="str">
        <f t="shared" si="17"/>
        <v/>
      </c>
      <c r="E68" s="334" t="str">
        <f t="shared" si="18"/>
        <v/>
      </c>
      <c r="F68" s="334" t="str">
        <f t="shared" si="19"/>
        <v/>
      </c>
      <c r="G68" s="334" t="str">
        <f t="shared" si="20"/>
        <v/>
      </c>
      <c r="K68" s="336"/>
      <c r="L68" s="337"/>
    </row>
    <row r="69" spans="1:19" ht="13.8">
      <c r="A69" s="334" t="str">
        <f t="shared" si="14"/>
        <v/>
      </c>
      <c r="B69" s="334" t="str">
        <f t="shared" si="15"/>
        <v/>
      </c>
      <c r="C69" s="334" t="str">
        <f t="shared" si="16"/>
        <v/>
      </c>
      <c r="D69" s="334" t="str">
        <f t="shared" si="17"/>
        <v/>
      </c>
      <c r="E69" s="334" t="str">
        <f t="shared" si="18"/>
        <v/>
      </c>
      <c r="F69" s="334" t="str">
        <f t="shared" si="19"/>
        <v/>
      </c>
      <c r="G69" s="334" t="str">
        <f t="shared" si="20"/>
        <v/>
      </c>
      <c r="K69" s="336"/>
      <c r="L69" s="337"/>
    </row>
    <row r="70" spans="1:19" ht="13.8">
      <c r="A70" s="334" t="str">
        <f t="shared" si="14"/>
        <v/>
      </c>
      <c r="B70" s="334" t="str">
        <f t="shared" si="15"/>
        <v/>
      </c>
      <c r="C70" s="334" t="str">
        <f t="shared" si="16"/>
        <v/>
      </c>
      <c r="D70" s="334" t="str">
        <f t="shared" si="17"/>
        <v/>
      </c>
      <c r="E70" s="334" t="str">
        <f t="shared" si="18"/>
        <v/>
      </c>
      <c r="F70" s="334" t="str">
        <f t="shared" si="19"/>
        <v/>
      </c>
      <c r="G70" s="334" t="str">
        <f t="shared" si="20"/>
        <v/>
      </c>
      <c r="K70" s="336"/>
      <c r="L70" s="337"/>
    </row>
    <row r="71" spans="1:19" ht="13.8">
      <c r="A71" s="334" t="str">
        <f t="shared" si="14"/>
        <v/>
      </c>
      <c r="B71" s="334" t="str">
        <f t="shared" si="15"/>
        <v/>
      </c>
      <c r="C71" s="334" t="str">
        <f t="shared" si="16"/>
        <v/>
      </c>
      <c r="D71" s="334" t="str">
        <f t="shared" si="17"/>
        <v/>
      </c>
      <c r="E71" s="334" t="str">
        <f t="shared" si="18"/>
        <v/>
      </c>
      <c r="F71" s="334" t="str">
        <f t="shared" si="19"/>
        <v/>
      </c>
      <c r="G71" s="334" t="str">
        <f t="shared" si="20"/>
        <v/>
      </c>
      <c r="K71" s="336"/>
      <c r="L71" s="337"/>
    </row>
    <row r="72" spans="1:19" ht="13.8">
      <c r="A72" s="334" t="str">
        <f t="shared" si="14"/>
        <v/>
      </c>
      <c r="B72" s="334" t="str">
        <f t="shared" si="15"/>
        <v/>
      </c>
      <c r="C72" s="334" t="str">
        <f t="shared" si="16"/>
        <v/>
      </c>
      <c r="D72" s="334" t="str">
        <f t="shared" si="17"/>
        <v/>
      </c>
      <c r="E72" s="334" t="str">
        <f t="shared" si="18"/>
        <v/>
      </c>
      <c r="F72" s="334" t="str">
        <f t="shared" si="19"/>
        <v/>
      </c>
      <c r="G72" s="334" t="str">
        <f t="shared" si="20"/>
        <v/>
      </c>
      <c r="K72" s="336"/>
      <c r="L72" s="337"/>
    </row>
    <row r="73" spans="1:19" ht="13.8">
      <c r="A73" s="334" t="str">
        <f t="shared" si="14"/>
        <v/>
      </c>
      <c r="B73" s="334" t="str">
        <f t="shared" si="15"/>
        <v/>
      </c>
      <c r="C73" s="334" t="str">
        <f t="shared" si="16"/>
        <v/>
      </c>
      <c r="D73" s="334" t="str">
        <f t="shared" si="17"/>
        <v/>
      </c>
      <c r="E73" s="334" t="str">
        <f t="shared" si="18"/>
        <v/>
      </c>
      <c r="F73" s="334" t="str">
        <f t="shared" si="19"/>
        <v/>
      </c>
      <c r="G73" s="334" t="str">
        <f t="shared" si="20"/>
        <v/>
      </c>
      <c r="K73" s="336"/>
      <c r="L73" s="337"/>
    </row>
    <row r="74" spans="1:19" ht="13.8">
      <c r="A74" s="334" t="str">
        <f t="shared" si="14"/>
        <v/>
      </c>
      <c r="B74" s="334" t="str">
        <f t="shared" si="15"/>
        <v/>
      </c>
      <c r="C74" s="334" t="str">
        <f t="shared" si="16"/>
        <v/>
      </c>
      <c r="D74" s="334" t="str">
        <f t="shared" si="17"/>
        <v/>
      </c>
      <c r="E74" s="334" t="str">
        <f t="shared" si="18"/>
        <v/>
      </c>
      <c r="F74" s="334" t="str">
        <f t="shared" si="19"/>
        <v/>
      </c>
      <c r="G74" s="334" t="str">
        <f t="shared" si="20"/>
        <v/>
      </c>
      <c r="K74" s="336"/>
      <c r="L74" s="337"/>
    </row>
    <row r="75" spans="1:19" ht="13.8">
      <c r="A75" s="334" t="str">
        <f t="shared" si="14"/>
        <v/>
      </c>
      <c r="B75" s="334" t="str">
        <f t="shared" si="15"/>
        <v/>
      </c>
      <c r="C75" s="334" t="str">
        <f t="shared" si="16"/>
        <v/>
      </c>
      <c r="D75" s="334" t="str">
        <f t="shared" si="17"/>
        <v/>
      </c>
      <c r="E75" s="334" t="str">
        <f t="shared" si="18"/>
        <v/>
      </c>
      <c r="F75" s="334" t="str">
        <f t="shared" si="19"/>
        <v/>
      </c>
      <c r="G75" s="334" t="str">
        <f t="shared" si="20"/>
        <v/>
      </c>
      <c r="K75" s="336"/>
      <c r="L75" s="337"/>
    </row>
    <row r="76" spans="1:19" ht="13.8">
      <c r="A76" s="334" t="str">
        <f t="shared" si="14"/>
        <v/>
      </c>
      <c r="B76" s="334" t="str">
        <f t="shared" si="15"/>
        <v/>
      </c>
      <c r="C76" s="334" t="str">
        <f t="shared" si="16"/>
        <v/>
      </c>
      <c r="D76" s="334" t="str">
        <f t="shared" si="17"/>
        <v/>
      </c>
      <c r="E76" s="334" t="str">
        <f t="shared" si="18"/>
        <v/>
      </c>
      <c r="F76" s="334" t="str">
        <f t="shared" si="19"/>
        <v/>
      </c>
      <c r="G76" s="334" t="str">
        <f t="shared" si="20"/>
        <v/>
      </c>
      <c r="K76" s="336"/>
      <c r="L76" s="337"/>
    </row>
    <row r="77" spans="1:19" ht="13.8">
      <c r="A77" s="334" t="str">
        <f t="shared" si="14"/>
        <v/>
      </c>
      <c r="B77" s="334" t="str">
        <f t="shared" si="15"/>
        <v/>
      </c>
      <c r="C77" s="334" t="str">
        <f t="shared" si="16"/>
        <v/>
      </c>
      <c r="D77" s="334" t="str">
        <f t="shared" si="17"/>
        <v/>
      </c>
      <c r="E77" s="334" t="str">
        <f t="shared" si="18"/>
        <v/>
      </c>
      <c r="F77" s="334" t="str">
        <f t="shared" si="19"/>
        <v/>
      </c>
      <c r="G77" s="334" t="str">
        <f t="shared" si="20"/>
        <v/>
      </c>
      <c r="K77" s="336"/>
      <c r="L77" s="337"/>
    </row>
    <row r="78" spans="1:19" ht="13.8">
      <c r="A78" s="334" t="str">
        <f t="shared" si="14"/>
        <v/>
      </c>
      <c r="B78" s="334" t="str">
        <f t="shared" si="15"/>
        <v/>
      </c>
      <c r="C78" s="334" t="str">
        <f t="shared" si="16"/>
        <v/>
      </c>
      <c r="D78" s="334" t="str">
        <f t="shared" si="17"/>
        <v/>
      </c>
      <c r="E78" s="334" t="str">
        <f t="shared" si="18"/>
        <v/>
      </c>
      <c r="F78" s="334" t="str">
        <f t="shared" si="19"/>
        <v/>
      </c>
      <c r="G78" s="334" t="str">
        <f t="shared" si="20"/>
        <v/>
      </c>
      <c r="K78" s="336"/>
      <c r="L78" s="337"/>
      <c r="R78" s="347"/>
      <c r="S78" s="347"/>
    </row>
    <row r="79" spans="1:19" ht="13.8">
      <c r="A79" s="334" t="str">
        <f t="shared" si="14"/>
        <v/>
      </c>
      <c r="B79" s="334" t="str">
        <f t="shared" si="15"/>
        <v/>
      </c>
      <c r="C79" s="334" t="str">
        <f t="shared" si="16"/>
        <v/>
      </c>
      <c r="D79" s="334" t="str">
        <f t="shared" si="17"/>
        <v/>
      </c>
      <c r="E79" s="334" t="str">
        <f t="shared" si="18"/>
        <v/>
      </c>
      <c r="F79" s="334" t="str">
        <f t="shared" si="19"/>
        <v/>
      </c>
      <c r="G79" s="334" t="str">
        <f t="shared" si="20"/>
        <v/>
      </c>
      <c r="K79" s="336"/>
      <c r="L79" s="337"/>
    </row>
    <row r="80" spans="1:19" ht="13.8">
      <c r="A80" s="334" t="str">
        <f t="shared" si="14"/>
        <v/>
      </c>
      <c r="B80" s="334" t="str">
        <f t="shared" si="15"/>
        <v/>
      </c>
      <c r="C80" s="334" t="str">
        <f t="shared" si="16"/>
        <v/>
      </c>
      <c r="D80" s="334" t="str">
        <f t="shared" si="17"/>
        <v/>
      </c>
      <c r="E80" s="334" t="str">
        <f t="shared" si="18"/>
        <v/>
      </c>
      <c r="F80" s="334" t="str">
        <f t="shared" si="19"/>
        <v/>
      </c>
      <c r="G80" s="334" t="str">
        <f t="shared" si="20"/>
        <v/>
      </c>
      <c r="K80" s="336"/>
      <c r="L80" s="337"/>
    </row>
    <row r="81" spans="1:19" ht="13.8">
      <c r="A81" s="334" t="str">
        <f t="shared" si="14"/>
        <v/>
      </c>
      <c r="B81" s="334" t="str">
        <f t="shared" si="15"/>
        <v/>
      </c>
      <c r="C81" s="334" t="str">
        <f t="shared" si="16"/>
        <v/>
      </c>
      <c r="D81" s="334" t="str">
        <f t="shared" si="17"/>
        <v/>
      </c>
      <c r="E81" s="334" t="str">
        <f t="shared" si="18"/>
        <v/>
      </c>
      <c r="F81" s="334" t="str">
        <f t="shared" si="19"/>
        <v/>
      </c>
      <c r="G81" s="334" t="str">
        <f t="shared" si="20"/>
        <v/>
      </c>
      <c r="K81" s="336"/>
      <c r="L81" s="337"/>
    </row>
    <row r="82" spans="1:19" ht="13.8">
      <c r="A82" s="334" t="str">
        <f t="shared" si="14"/>
        <v/>
      </c>
      <c r="B82" s="334" t="str">
        <f t="shared" si="15"/>
        <v/>
      </c>
      <c r="C82" s="334" t="str">
        <f t="shared" si="16"/>
        <v/>
      </c>
      <c r="D82" s="334" t="str">
        <f t="shared" si="17"/>
        <v/>
      </c>
      <c r="E82" s="334" t="str">
        <f t="shared" si="18"/>
        <v/>
      </c>
      <c r="F82" s="334" t="str">
        <f t="shared" si="19"/>
        <v/>
      </c>
      <c r="G82" s="334" t="str">
        <f t="shared" si="20"/>
        <v/>
      </c>
      <c r="K82" s="336"/>
      <c r="L82" s="337"/>
    </row>
    <row r="83" spans="1:19" ht="13.8">
      <c r="A83" s="334" t="str">
        <f t="shared" si="14"/>
        <v/>
      </c>
      <c r="B83" s="334" t="str">
        <f t="shared" si="15"/>
        <v/>
      </c>
      <c r="C83" s="334" t="str">
        <f t="shared" si="16"/>
        <v/>
      </c>
      <c r="D83" s="334" t="str">
        <f t="shared" si="17"/>
        <v/>
      </c>
      <c r="E83" s="334" t="str">
        <f t="shared" si="18"/>
        <v/>
      </c>
      <c r="F83" s="334" t="str">
        <f t="shared" si="19"/>
        <v/>
      </c>
      <c r="G83" s="334" t="str">
        <f t="shared" si="20"/>
        <v/>
      </c>
      <c r="K83" s="336"/>
      <c r="L83" s="337"/>
    </row>
    <row r="84" spans="1:19" s="347" customFormat="1" ht="13.8">
      <c r="A84" s="334" t="str">
        <f t="shared" si="14"/>
        <v/>
      </c>
      <c r="B84" s="334" t="str">
        <f t="shared" si="15"/>
        <v/>
      </c>
      <c r="C84" s="334" t="str">
        <f t="shared" si="16"/>
        <v/>
      </c>
      <c r="D84" s="334" t="str">
        <f t="shared" si="17"/>
        <v/>
      </c>
      <c r="E84" s="334" t="str">
        <f t="shared" si="18"/>
        <v/>
      </c>
      <c r="F84" s="334" t="str">
        <f t="shared" si="19"/>
        <v/>
      </c>
      <c r="G84" s="334" t="str">
        <f t="shared" si="20"/>
        <v/>
      </c>
      <c r="H84" s="335"/>
      <c r="I84" s="335"/>
      <c r="J84" s="335"/>
      <c r="K84" s="336"/>
      <c r="L84" s="337"/>
      <c r="M84" s="338"/>
      <c r="O84" s="335"/>
      <c r="P84" s="335"/>
      <c r="Q84" s="335"/>
      <c r="R84" s="335"/>
      <c r="S84" s="335"/>
    </row>
    <row r="85" spans="1:19" ht="13.8">
      <c r="A85" s="334" t="str">
        <f t="shared" si="14"/>
        <v/>
      </c>
      <c r="B85" s="334" t="str">
        <f t="shared" si="15"/>
        <v/>
      </c>
      <c r="C85" s="334" t="str">
        <f t="shared" si="16"/>
        <v/>
      </c>
      <c r="D85" s="334" t="str">
        <f t="shared" si="17"/>
        <v/>
      </c>
      <c r="E85" s="334" t="str">
        <f t="shared" si="18"/>
        <v/>
      </c>
      <c r="F85" s="334" t="str">
        <f t="shared" si="19"/>
        <v/>
      </c>
      <c r="G85" s="334" t="str">
        <f t="shared" si="20"/>
        <v/>
      </c>
      <c r="K85" s="336"/>
      <c r="L85" s="337"/>
    </row>
    <row r="86" spans="1:19" ht="13.8">
      <c r="A86" s="334" t="str">
        <f t="shared" si="14"/>
        <v/>
      </c>
      <c r="B86" s="334" t="str">
        <f t="shared" si="15"/>
        <v/>
      </c>
      <c r="C86" s="334" t="str">
        <f t="shared" si="16"/>
        <v/>
      </c>
      <c r="D86" s="334" t="str">
        <f t="shared" si="17"/>
        <v/>
      </c>
      <c r="E86" s="334" t="str">
        <f t="shared" si="18"/>
        <v/>
      </c>
      <c r="F86" s="334" t="str">
        <f t="shared" si="19"/>
        <v/>
      </c>
      <c r="G86" s="334" t="str">
        <f t="shared" si="20"/>
        <v/>
      </c>
      <c r="K86" s="336"/>
      <c r="L86" s="337"/>
    </row>
    <row r="87" spans="1:19" ht="13.8">
      <c r="A87" s="334" t="str">
        <f t="shared" si="14"/>
        <v/>
      </c>
      <c r="B87" s="334" t="str">
        <f t="shared" si="15"/>
        <v/>
      </c>
      <c r="C87" s="334" t="str">
        <f t="shared" si="16"/>
        <v/>
      </c>
      <c r="D87" s="334" t="str">
        <f t="shared" si="17"/>
        <v/>
      </c>
      <c r="E87" s="334" t="str">
        <f t="shared" si="18"/>
        <v/>
      </c>
      <c r="F87" s="334" t="str">
        <f t="shared" si="19"/>
        <v/>
      </c>
      <c r="G87" s="334" t="str">
        <f t="shared" si="20"/>
        <v/>
      </c>
      <c r="K87" s="336"/>
      <c r="L87" s="337"/>
    </row>
    <row r="88" spans="1:19" ht="13.8">
      <c r="A88" s="334" t="str">
        <f t="shared" si="14"/>
        <v/>
      </c>
      <c r="B88" s="334" t="str">
        <f t="shared" si="15"/>
        <v/>
      </c>
      <c r="C88" s="334" t="str">
        <f t="shared" si="16"/>
        <v/>
      </c>
      <c r="D88" s="334" t="str">
        <f t="shared" si="17"/>
        <v/>
      </c>
      <c r="E88" s="334" t="str">
        <f t="shared" si="18"/>
        <v/>
      </c>
      <c r="F88" s="334" t="str">
        <f t="shared" si="19"/>
        <v/>
      </c>
      <c r="G88" s="334" t="str">
        <f t="shared" si="20"/>
        <v/>
      </c>
      <c r="K88" s="336"/>
      <c r="L88" s="337"/>
    </row>
    <row r="89" spans="1:19" ht="13.8">
      <c r="A89" s="334" t="str">
        <f t="shared" si="14"/>
        <v/>
      </c>
      <c r="B89" s="334" t="str">
        <f t="shared" si="15"/>
        <v/>
      </c>
      <c r="C89" s="334" t="str">
        <f t="shared" si="16"/>
        <v/>
      </c>
      <c r="D89" s="334" t="str">
        <f t="shared" si="17"/>
        <v/>
      </c>
      <c r="E89" s="334" t="str">
        <f t="shared" si="18"/>
        <v/>
      </c>
      <c r="F89" s="334" t="str">
        <f t="shared" si="19"/>
        <v/>
      </c>
      <c r="G89" s="334" t="str">
        <f t="shared" si="20"/>
        <v/>
      </c>
      <c r="K89" s="336"/>
      <c r="L89" s="337"/>
    </row>
    <row r="90" spans="1:19" ht="13.8">
      <c r="A90" s="334" t="str">
        <f t="shared" si="14"/>
        <v/>
      </c>
      <c r="B90" s="334" t="str">
        <f t="shared" si="15"/>
        <v/>
      </c>
      <c r="C90" s="334" t="str">
        <f t="shared" si="16"/>
        <v/>
      </c>
      <c r="D90" s="334" t="str">
        <f t="shared" si="17"/>
        <v/>
      </c>
      <c r="E90" s="334" t="str">
        <f t="shared" si="18"/>
        <v/>
      </c>
      <c r="F90" s="334" t="str">
        <f t="shared" si="19"/>
        <v/>
      </c>
      <c r="G90" s="334" t="str">
        <f t="shared" si="20"/>
        <v/>
      </c>
      <c r="K90" s="336"/>
      <c r="L90" s="337"/>
      <c r="O90" s="347"/>
      <c r="P90" s="347"/>
      <c r="Q90" s="347"/>
    </row>
    <row r="91" spans="1:19" ht="13.8">
      <c r="A91" s="334" t="str">
        <f t="shared" si="14"/>
        <v/>
      </c>
      <c r="B91" s="334" t="str">
        <f t="shared" si="15"/>
        <v/>
      </c>
      <c r="C91" s="334" t="str">
        <f t="shared" si="16"/>
        <v/>
      </c>
      <c r="D91" s="334" t="str">
        <f t="shared" si="17"/>
        <v/>
      </c>
      <c r="E91" s="334" t="str">
        <f t="shared" si="18"/>
        <v/>
      </c>
      <c r="F91" s="334" t="str">
        <f t="shared" si="19"/>
        <v/>
      </c>
      <c r="G91" s="334" t="str">
        <f t="shared" si="20"/>
        <v/>
      </c>
      <c r="K91" s="336"/>
      <c r="L91" s="337"/>
    </row>
    <row r="92" spans="1:19" ht="13.8">
      <c r="A92" s="334" t="str">
        <f t="shared" si="14"/>
        <v/>
      </c>
      <c r="B92" s="334" t="str">
        <f t="shared" si="15"/>
        <v/>
      </c>
      <c r="C92" s="334" t="str">
        <f t="shared" si="16"/>
        <v/>
      </c>
      <c r="D92" s="334" t="str">
        <f t="shared" si="17"/>
        <v/>
      </c>
      <c r="E92" s="334" t="str">
        <f t="shared" si="18"/>
        <v/>
      </c>
      <c r="F92" s="334" t="str">
        <f t="shared" si="19"/>
        <v/>
      </c>
      <c r="G92" s="334" t="str">
        <f t="shared" si="20"/>
        <v/>
      </c>
      <c r="K92" s="336"/>
      <c r="L92" s="337"/>
    </row>
    <row r="93" spans="1:19" ht="13.8">
      <c r="A93" s="334" t="str">
        <f t="shared" si="14"/>
        <v/>
      </c>
      <c r="B93" s="334" t="str">
        <f t="shared" si="15"/>
        <v/>
      </c>
      <c r="C93" s="334" t="str">
        <f t="shared" si="16"/>
        <v/>
      </c>
      <c r="D93" s="334" t="str">
        <f t="shared" si="17"/>
        <v/>
      </c>
      <c r="E93" s="334" t="str">
        <f t="shared" si="18"/>
        <v/>
      </c>
      <c r="F93" s="334" t="str">
        <f t="shared" si="19"/>
        <v/>
      </c>
      <c r="G93" s="334" t="str">
        <f t="shared" si="20"/>
        <v/>
      </c>
      <c r="K93" s="336"/>
      <c r="L93" s="337"/>
    </row>
    <row r="94" spans="1:19" ht="13.8">
      <c r="A94" s="334" t="str">
        <f t="shared" si="14"/>
        <v/>
      </c>
      <c r="B94" s="334" t="str">
        <f t="shared" si="15"/>
        <v/>
      </c>
      <c r="C94" s="334" t="str">
        <f t="shared" si="16"/>
        <v/>
      </c>
      <c r="D94" s="334" t="str">
        <f t="shared" si="17"/>
        <v/>
      </c>
      <c r="E94" s="334" t="str">
        <f t="shared" si="18"/>
        <v/>
      </c>
      <c r="F94" s="334" t="str">
        <f t="shared" si="19"/>
        <v/>
      </c>
      <c r="G94" s="334" t="str">
        <f t="shared" si="20"/>
        <v/>
      </c>
      <c r="K94" s="336"/>
      <c r="L94" s="337"/>
    </row>
    <row r="95" spans="1:19" ht="13.8">
      <c r="A95" s="334" t="str">
        <f t="shared" si="14"/>
        <v/>
      </c>
      <c r="B95" s="334" t="str">
        <f t="shared" si="15"/>
        <v/>
      </c>
      <c r="C95" s="334" t="str">
        <f t="shared" si="16"/>
        <v/>
      </c>
      <c r="D95" s="334" t="str">
        <f t="shared" si="17"/>
        <v/>
      </c>
      <c r="E95" s="334" t="str">
        <f t="shared" si="18"/>
        <v/>
      </c>
      <c r="F95" s="334" t="str">
        <f t="shared" si="19"/>
        <v/>
      </c>
      <c r="G95" s="334" t="str">
        <f t="shared" si="20"/>
        <v/>
      </c>
      <c r="K95" s="336"/>
      <c r="L95" s="337"/>
    </row>
    <row r="96" spans="1:19" ht="13.8">
      <c r="A96" s="334" t="str">
        <f t="shared" si="14"/>
        <v/>
      </c>
      <c r="B96" s="334" t="str">
        <f t="shared" si="15"/>
        <v/>
      </c>
      <c r="C96" s="334" t="str">
        <f t="shared" si="16"/>
        <v/>
      </c>
      <c r="D96" s="334" t="str">
        <f t="shared" si="17"/>
        <v/>
      </c>
      <c r="E96" s="334" t="str">
        <f t="shared" si="18"/>
        <v/>
      </c>
      <c r="F96" s="334" t="str">
        <f t="shared" si="19"/>
        <v/>
      </c>
      <c r="G96" s="334" t="str">
        <f t="shared" si="20"/>
        <v/>
      </c>
      <c r="K96" s="336"/>
      <c r="L96" s="337"/>
    </row>
    <row r="97" spans="1:12" ht="13.8">
      <c r="A97" s="334" t="str">
        <f t="shared" si="14"/>
        <v/>
      </c>
      <c r="B97" s="334" t="str">
        <f t="shared" si="15"/>
        <v/>
      </c>
      <c r="C97" s="334" t="str">
        <f t="shared" si="16"/>
        <v/>
      </c>
      <c r="D97" s="334" t="str">
        <f t="shared" si="17"/>
        <v/>
      </c>
      <c r="E97" s="334" t="str">
        <f t="shared" si="18"/>
        <v/>
      </c>
      <c r="F97" s="334" t="str">
        <f t="shared" si="19"/>
        <v/>
      </c>
      <c r="G97" s="334" t="str">
        <f t="shared" si="20"/>
        <v/>
      </c>
      <c r="K97" s="336"/>
      <c r="L97" s="337"/>
    </row>
    <row r="98" spans="1:12" ht="13.8">
      <c r="A98" s="334" t="str">
        <f t="shared" si="14"/>
        <v/>
      </c>
      <c r="B98" s="334" t="str">
        <f t="shared" si="15"/>
        <v/>
      </c>
      <c r="C98" s="334" t="str">
        <f t="shared" si="16"/>
        <v/>
      </c>
      <c r="D98" s="334" t="str">
        <f t="shared" si="17"/>
        <v/>
      </c>
      <c r="E98" s="334" t="str">
        <f t="shared" si="18"/>
        <v/>
      </c>
      <c r="F98" s="334" t="str">
        <f t="shared" si="19"/>
        <v/>
      </c>
      <c r="G98" s="334" t="str">
        <f t="shared" si="20"/>
        <v/>
      </c>
      <c r="K98" s="336"/>
      <c r="L98" s="337"/>
    </row>
    <row r="99" spans="1:12" ht="13.8">
      <c r="A99" s="334" t="str">
        <f t="shared" si="14"/>
        <v/>
      </c>
      <c r="B99" s="334" t="str">
        <f t="shared" si="15"/>
        <v/>
      </c>
      <c r="C99" s="334" t="str">
        <f t="shared" si="16"/>
        <v/>
      </c>
      <c r="D99" s="334" t="str">
        <f t="shared" si="17"/>
        <v/>
      </c>
      <c r="E99" s="334" t="str">
        <f t="shared" si="18"/>
        <v/>
      </c>
      <c r="F99" s="334" t="str">
        <f t="shared" si="19"/>
        <v/>
      </c>
      <c r="G99" s="334" t="str">
        <f t="shared" si="20"/>
        <v/>
      </c>
      <c r="K99" s="336"/>
      <c r="L99" s="337"/>
    </row>
    <row r="100" spans="1:12" ht="13.8">
      <c r="A100" s="334" t="str">
        <f t="shared" si="14"/>
        <v/>
      </c>
      <c r="B100" s="334" t="str">
        <f t="shared" si="15"/>
        <v/>
      </c>
      <c r="C100" s="334" t="str">
        <f t="shared" si="16"/>
        <v/>
      </c>
      <c r="D100" s="334" t="str">
        <f t="shared" si="17"/>
        <v/>
      </c>
      <c r="E100" s="334" t="str">
        <f t="shared" si="18"/>
        <v/>
      </c>
      <c r="F100" s="334" t="str">
        <f t="shared" si="19"/>
        <v/>
      </c>
      <c r="G100" s="334" t="str">
        <f t="shared" si="20"/>
        <v/>
      </c>
      <c r="K100" s="336"/>
      <c r="L100" s="337"/>
    </row>
    <row r="101" spans="1:12" ht="13.8">
      <c r="A101" s="334" t="str">
        <f t="shared" si="14"/>
        <v/>
      </c>
      <c r="B101" s="334" t="str">
        <f t="shared" si="15"/>
        <v/>
      </c>
      <c r="C101" s="334" t="str">
        <f t="shared" si="16"/>
        <v/>
      </c>
      <c r="D101" s="334" t="str">
        <f t="shared" si="17"/>
        <v/>
      </c>
      <c r="E101" s="334" t="str">
        <f t="shared" si="18"/>
        <v/>
      </c>
      <c r="F101" s="334" t="str">
        <f t="shared" si="19"/>
        <v/>
      </c>
      <c r="G101" s="334" t="str">
        <f t="shared" si="20"/>
        <v/>
      </c>
      <c r="K101" s="336"/>
      <c r="L101" s="337"/>
    </row>
    <row r="102" spans="1:12" ht="13.8">
      <c r="A102" s="334" t="str">
        <f t="shared" si="14"/>
        <v/>
      </c>
      <c r="B102" s="334" t="str">
        <f t="shared" si="15"/>
        <v/>
      </c>
      <c r="C102" s="334" t="str">
        <f t="shared" si="16"/>
        <v/>
      </c>
      <c r="D102" s="334" t="str">
        <f t="shared" si="17"/>
        <v/>
      </c>
      <c r="E102" s="334" t="str">
        <f t="shared" si="18"/>
        <v/>
      </c>
      <c r="F102" s="334" t="str">
        <f t="shared" si="19"/>
        <v/>
      </c>
      <c r="G102" s="334" t="str">
        <f t="shared" si="20"/>
        <v/>
      </c>
      <c r="K102" s="336"/>
      <c r="L102" s="337"/>
    </row>
    <row r="103" spans="1:12" ht="13.8">
      <c r="A103" s="334" t="str">
        <f t="shared" si="14"/>
        <v/>
      </c>
      <c r="B103" s="334" t="str">
        <f t="shared" si="15"/>
        <v/>
      </c>
      <c r="C103" s="334" t="str">
        <f t="shared" si="16"/>
        <v/>
      </c>
      <c r="D103" s="334" t="str">
        <f t="shared" si="17"/>
        <v/>
      </c>
      <c r="E103" s="334" t="str">
        <f t="shared" si="18"/>
        <v/>
      </c>
      <c r="F103" s="334" t="str">
        <f t="shared" si="19"/>
        <v/>
      </c>
      <c r="G103" s="334" t="str">
        <f t="shared" si="20"/>
        <v/>
      </c>
      <c r="K103" s="336"/>
      <c r="L103" s="337"/>
    </row>
    <row r="104" spans="1:12" ht="13.8">
      <c r="A104" s="334" t="str">
        <f t="shared" si="14"/>
        <v/>
      </c>
      <c r="B104" s="334" t="str">
        <f t="shared" si="15"/>
        <v/>
      </c>
      <c r="C104" s="334" t="str">
        <f t="shared" si="16"/>
        <v/>
      </c>
      <c r="D104" s="334" t="str">
        <f t="shared" si="17"/>
        <v/>
      </c>
      <c r="E104" s="334" t="str">
        <f t="shared" si="18"/>
        <v/>
      </c>
      <c r="F104" s="334" t="str">
        <f t="shared" si="19"/>
        <v/>
      </c>
      <c r="G104" s="334" t="str">
        <f t="shared" si="20"/>
        <v/>
      </c>
      <c r="K104" s="336"/>
      <c r="L104" s="337"/>
    </row>
    <row r="105" spans="1:12" ht="13.8">
      <c r="A105" s="334" t="str">
        <f t="shared" si="14"/>
        <v/>
      </c>
      <c r="B105" s="334" t="str">
        <f t="shared" si="15"/>
        <v/>
      </c>
      <c r="C105" s="334" t="str">
        <f t="shared" si="16"/>
        <v/>
      </c>
      <c r="D105" s="334" t="str">
        <f t="shared" si="17"/>
        <v/>
      </c>
      <c r="E105" s="334" t="str">
        <f t="shared" si="18"/>
        <v/>
      </c>
      <c r="F105" s="334" t="str">
        <f t="shared" si="19"/>
        <v/>
      </c>
      <c r="G105" s="334" t="str">
        <f t="shared" si="20"/>
        <v/>
      </c>
      <c r="K105" s="336"/>
      <c r="L105" s="337"/>
    </row>
    <row r="106" spans="1:12" ht="13.8">
      <c r="A106" s="334" t="str">
        <f t="shared" si="14"/>
        <v/>
      </c>
      <c r="B106" s="334" t="str">
        <f t="shared" si="15"/>
        <v/>
      </c>
      <c r="C106" s="334" t="str">
        <f t="shared" si="16"/>
        <v/>
      </c>
      <c r="D106" s="334" t="str">
        <f t="shared" si="17"/>
        <v/>
      </c>
      <c r="E106" s="334" t="str">
        <f t="shared" si="18"/>
        <v/>
      </c>
      <c r="F106" s="334" t="str">
        <f t="shared" si="19"/>
        <v/>
      </c>
      <c r="G106" s="334" t="str">
        <f t="shared" si="20"/>
        <v/>
      </c>
      <c r="K106" s="336"/>
      <c r="L106" s="337"/>
    </row>
    <row r="107" spans="1:12" ht="13.8">
      <c r="A107" s="334" t="str">
        <f t="shared" si="14"/>
        <v/>
      </c>
      <c r="B107" s="334" t="str">
        <f t="shared" si="15"/>
        <v/>
      </c>
      <c r="C107" s="334" t="str">
        <f t="shared" si="16"/>
        <v/>
      </c>
      <c r="D107" s="334" t="str">
        <f t="shared" si="17"/>
        <v/>
      </c>
      <c r="E107" s="334" t="str">
        <f t="shared" si="18"/>
        <v/>
      </c>
      <c r="F107" s="334" t="str">
        <f t="shared" si="19"/>
        <v/>
      </c>
      <c r="G107" s="334" t="str">
        <f t="shared" si="20"/>
        <v/>
      </c>
      <c r="K107" s="336"/>
      <c r="L107" s="337"/>
    </row>
    <row r="108" spans="1:12" ht="13.8">
      <c r="A108" s="334" t="str">
        <f t="shared" si="14"/>
        <v/>
      </c>
      <c r="B108" s="334" t="str">
        <f t="shared" si="15"/>
        <v/>
      </c>
      <c r="C108" s="334" t="str">
        <f t="shared" si="16"/>
        <v/>
      </c>
      <c r="D108" s="334" t="str">
        <f t="shared" si="17"/>
        <v/>
      </c>
      <c r="E108" s="334" t="str">
        <f t="shared" si="18"/>
        <v/>
      </c>
      <c r="F108" s="334" t="str">
        <f t="shared" si="19"/>
        <v/>
      </c>
      <c r="G108" s="334" t="str">
        <f t="shared" si="20"/>
        <v/>
      </c>
      <c r="K108" s="336"/>
      <c r="L108" s="337"/>
    </row>
    <row r="109" spans="1:12" ht="13.8">
      <c r="A109" s="334" t="str">
        <f t="shared" si="14"/>
        <v/>
      </c>
      <c r="B109" s="334" t="str">
        <f t="shared" si="15"/>
        <v/>
      </c>
      <c r="C109" s="334" t="str">
        <f t="shared" si="16"/>
        <v/>
      </c>
      <c r="D109" s="334" t="str">
        <f t="shared" si="17"/>
        <v/>
      </c>
      <c r="E109" s="334" t="str">
        <f t="shared" si="18"/>
        <v/>
      </c>
      <c r="F109" s="334" t="str">
        <f t="shared" si="19"/>
        <v/>
      </c>
      <c r="G109" s="334" t="str">
        <f t="shared" si="20"/>
        <v/>
      </c>
      <c r="K109" s="336"/>
      <c r="L109" s="337"/>
    </row>
    <row r="110" spans="1:12" ht="13.8">
      <c r="A110" s="334" t="str">
        <f t="shared" si="14"/>
        <v/>
      </c>
      <c r="B110" s="334" t="str">
        <f t="shared" si="15"/>
        <v/>
      </c>
      <c r="C110" s="334" t="str">
        <f t="shared" si="16"/>
        <v/>
      </c>
      <c r="D110" s="334" t="str">
        <f t="shared" si="17"/>
        <v/>
      </c>
      <c r="E110" s="334" t="str">
        <f t="shared" si="18"/>
        <v/>
      </c>
      <c r="F110" s="334" t="str">
        <f t="shared" si="19"/>
        <v/>
      </c>
      <c r="G110" s="334" t="str">
        <f t="shared" si="20"/>
        <v/>
      </c>
      <c r="K110" s="336"/>
      <c r="L110" s="337"/>
    </row>
    <row r="111" spans="1:12" ht="13.8">
      <c r="A111" s="334" t="str">
        <f t="shared" si="14"/>
        <v/>
      </c>
      <c r="B111" s="334" t="str">
        <f t="shared" si="15"/>
        <v/>
      </c>
      <c r="C111" s="334" t="str">
        <f t="shared" si="16"/>
        <v/>
      </c>
      <c r="D111" s="334" t="str">
        <f t="shared" si="17"/>
        <v/>
      </c>
      <c r="E111" s="334" t="str">
        <f t="shared" si="18"/>
        <v/>
      </c>
      <c r="F111" s="334" t="str">
        <f t="shared" si="19"/>
        <v/>
      </c>
      <c r="G111" s="334" t="str">
        <f t="shared" si="20"/>
        <v/>
      </c>
      <c r="K111" s="336"/>
      <c r="L111" s="337"/>
    </row>
    <row r="112" spans="1:12" ht="13.8">
      <c r="A112" s="334" t="str">
        <f t="shared" si="14"/>
        <v/>
      </c>
      <c r="B112" s="334" t="str">
        <f t="shared" si="15"/>
        <v/>
      </c>
      <c r="C112" s="334" t="str">
        <f t="shared" si="16"/>
        <v/>
      </c>
      <c r="D112" s="334" t="str">
        <f t="shared" si="17"/>
        <v/>
      </c>
      <c r="E112" s="334" t="str">
        <f t="shared" si="18"/>
        <v/>
      </c>
      <c r="F112" s="334" t="str">
        <f t="shared" si="19"/>
        <v/>
      </c>
      <c r="G112" s="334" t="str">
        <f t="shared" si="20"/>
        <v/>
      </c>
      <c r="K112" s="336"/>
      <c r="L112" s="337"/>
    </row>
    <row r="113" spans="1:12" ht="13.8">
      <c r="A113" s="334" t="str">
        <f t="shared" si="14"/>
        <v/>
      </c>
      <c r="B113" s="334" t="str">
        <f t="shared" si="15"/>
        <v/>
      </c>
      <c r="C113" s="334" t="str">
        <f t="shared" si="16"/>
        <v/>
      </c>
      <c r="D113" s="334" t="str">
        <f t="shared" si="17"/>
        <v/>
      </c>
      <c r="E113" s="334" t="str">
        <f t="shared" si="18"/>
        <v/>
      </c>
      <c r="F113" s="334" t="str">
        <f t="shared" si="19"/>
        <v/>
      </c>
      <c r="G113" s="334" t="str">
        <f t="shared" si="20"/>
        <v/>
      </c>
      <c r="K113" s="336"/>
      <c r="L113" s="337"/>
    </row>
    <row r="114" spans="1:12" ht="13.8">
      <c r="A114" s="334" t="str">
        <f t="shared" si="14"/>
        <v/>
      </c>
      <c r="B114" s="334" t="str">
        <f t="shared" si="15"/>
        <v/>
      </c>
      <c r="C114" s="334" t="str">
        <f t="shared" si="16"/>
        <v/>
      </c>
      <c r="D114" s="334" t="str">
        <f t="shared" si="17"/>
        <v/>
      </c>
      <c r="E114" s="334" t="str">
        <f t="shared" si="18"/>
        <v/>
      </c>
      <c r="F114" s="334" t="str">
        <f t="shared" si="19"/>
        <v/>
      </c>
      <c r="G114" s="334" t="str">
        <f t="shared" si="20"/>
        <v/>
      </c>
      <c r="K114" s="336"/>
      <c r="L114" s="337"/>
    </row>
    <row r="115" spans="1:12" ht="13.8">
      <c r="A115" s="334" t="str">
        <f t="shared" si="14"/>
        <v/>
      </c>
      <c r="B115" s="334" t="str">
        <f t="shared" si="15"/>
        <v/>
      </c>
      <c r="C115" s="334" t="str">
        <f t="shared" si="16"/>
        <v/>
      </c>
      <c r="D115" s="334" t="str">
        <f t="shared" si="17"/>
        <v/>
      </c>
      <c r="E115" s="334" t="str">
        <f t="shared" si="18"/>
        <v/>
      </c>
      <c r="F115" s="334" t="str">
        <f t="shared" si="19"/>
        <v/>
      </c>
      <c r="G115" s="334" t="str">
        <f t="shared" si="20"/>
        <v/>
      </c>
      <c r="K115" s="336"/>
      <c r="L115" s="337"/>
    </row>
    <row r="116" spans="1:12" ht="13.8">
      <c r="A116" s="334" t="str">
        <f t="shared" si="14"/>
        <v/>
      </c>
      <c r="B116" s="334" t="str">
        <f t="shared" si="15"/>
        <v/>
      </c>
      <c r="C116" s="334" t="str">
        <f t="shared" si="16"/>
        <v/>
      </c>
      <c r="D116" s="334" t="str">
        <f t="shared" si="17"/>
        <v/>
      </c>
      <c r="E116" s="334" t="str">
        <f t="shared" si="18"/>
        <v/>
      </c>
      <c r="F116" s="334" t="str">
        <f t="shared" si="19"/>
        <v/>
      </c>
      <c r="G116" s="334" t="str">
        <f t="shared" si="20"/>
        <v/>
      </c>
      <c r="K116" s="336"/>
      <c r="L116" s="337"/>
    </row>
    <row r="117" spans="1:12" ht="13.8">
      <c r="A117" s="334" t="str">
        <f t="shared" si="14"/>
        <v/>
      </c>
      <c r="B117" s="334" t="str">
        <f t="shared" si="15"/>
        <v/>
      </c>
      <c r="C117" s="334" t="str">
        <f t="shared" si="16"/>
        <v/>
      </c>
      <c r="D117" s="334" t="str">
        <f t="shared" si="17"/>
        <v/>
      </c>
      <c r="E117" s="334" t="str">
        <f t="shared" si="18"/>
        <v/>
      </c>
      <c r="F117" s="334" t="str">
        <f t="shared" si="19"/>
        <v/>
      </c>
      <c r="G117" s="334" t="str">
        <f t="shared" si="20"/>
        <v/>
      </c>
      <c r="K117" s="336"/>
      <c r="L117" s="337"/>
    </row>
    <row r="118" spans="1:12" ht="13.8">
      <c r="A118" s="334" t="str">
        <f t="shared" si="14"/>
        <v/>
      </c>
      <c r="B118" s="334" t="str">
        <f t="shared" si="15"/>
        <v/>
      </c>
      <c r="C118" s="334" t="str">
        <f t="shared" si="16"/>
        <v/>
      </c>
      <c r="D118" s="334" t="str">
        <f t="shared" si="17"/>
        <v/>
      </c>
      <c r="E118" s="334" t="str">
        <f t="shared" si="18"/>
        <v/>
      </c>
      <c r="F118" s="334" t="str">
        <f t="shared" si="19"/>
        <v/>
      </c>
      <c r="G118" s="334" t="str">
        <f t="shared" si="20"/>
        <v/>
      </c>
      <c r="K118" s="336"/>
      <c r="L118" s="337"/>
    </row>
    <row r="119" spans="1:12" ht="13.8">
      <c r="A119" s="334" t="str">
        <f t="shared" si="14"/>
        <v/>
      </c>
      <c r="B119" s="334" t="str">
        <f t="shared" si="15"/>
        <v/>
      </c>
      <c r="C119" s="334" t="str">
        <f t="shared" si="16"/>
        <v/>
      </c>
      <c r="D119" s="334" t="str">
        <f t="shared" si="17"/>
        <v/>
      </c>
      <c r="E119" s="334" t="str">
        <f t="shared" si="18"/>
        <v/>
      </c>
      <c r="F119" s="334" t="str">
        <f t="shared" si="19"/>
        <v/>
      </c>
      <c r="G119" s="334" t="str">
        <f t="shared" si="20"/>
        <v/>
      </c>
      <c r="K119" s="336"/>
      <c r="L119" s="337"/>
    </row>
    <row r="120" spans="1:12" ht="13.8">
      <c r="A120" s="334" t="str">
        <f t="shared" si="14"/>
        <v/>
      </c>
      <c r="B120" s="334" t="str">
        <f t="shared" si="15"/>
        <v/>
      </c>
      <c r="C120" s="334" t="str">
        <f t="shared" si="16"/>
        <v/>
      </c>
      <c r="D120" s="334" t="str">
        <f t="shared" si="17"/>
        <v/>
      </c>
      <c r="E120" s="334" t="str">
        <f t="shared" si="18"/>
        <v/>
      </c>
      <c r="F120" s="334" t="str">
        <f t="shared" si="19"/>
        <v/>
      </c>
      <c r="G120" s="334" t="str">
        <f t="shared" si="20"/>
        <v/>
      </c>
      <c r="K120" s="336"/>
      <c r="L120" s="337"/>
    </row>
    <row r="121" spans="1:12" ht="13.8">
      <c r="A121" s="334" t="str">
        <f t="shared" si="14"/>
        <v/>
      </c>
      <c r="B121" s="334" t="str">
        <f t="shared" si="15"/>
        <v/>
      </c>
      <c r="C121" s="334" t="str">
        <f t="shared" si="16"/>
        <v/>
      </c>
      <c r="D121" s="334" t="str">
        <f t="shared" si="17"/>
        <v/>
      </c>
      <c r="E121" s="334" t="str">
        <f t="shared" si="18"/>
        <v/>
      </c>
      <c r="F121" s="334" t="str">
        <f t="shared" si="19"/>
        <v/>
      </c>
      <c r="G121" s="334" t="str">
        <f t="shared" si="20"/>
        <v/>
      </c>
      <c r="K121" s="336"/>
      <c r="L121" s="337"/>
    </row>
    <row r="122" spans="1:12" ht="13.8">
      <c r="A122" s="334" t="str">
        <f t="shared" si="14"/>
        <v/>
      </c>
      <c r="B122" s="334" t="str">
        <f t="shared" si="15"/>
        <v/>
      </c>
      <c r="C122" s="334" t="str">
        <f t="shared" si="16"/>
        <v/>
      </c>
      <c r="D122" s="334" t="str">
        <f t="shared" si="17"/>
        <v/>
      </c>
      <c r="E122" s="334" t="str">
        <f t="shared" si="18"/>
        <v/>
      </c>
      <c r="F122" s="334" t="str">
        <f t="shared" si="19"/>
        <v/>
      </c>
      <c r="G122" s="334" t="str">
        <f t="shared" si="20"/>
        <v/>
      </c>
      <c r="K122" s="336"/>
      <c r="L122" s="337"/>
    </row>
    <row r="123" spans="1:12" ht="13.8">
      <c r="A123" s="334" t="str">
        <f t="shared" si="14"/>
        <v/>
      </c>
      <c r="B123" s="334" t="str">
        <f t="shared" si="15"/>
        <v/>
      </c>
      <c r="C123" s="334" t="str">
        <f t="shared" si="16"/>
        <v/>
      </c>
      <c r="D123" s="334" t="str">
        <f t="shared" si="17"/>
        <v/>
      </c>
      <c r="E123" s="334" t="str">
        <f t="shared" si="18"/>
        <v/>
      </c>
      <c r="F123" s="334" t="str">
        <f t="shared" si="19"/>
        <v/>
      </c>
      <c r="G123" s="334" t="str">
        <f t="shared" si="20"/>
        <v/>
      </c>
      <c r="K123" s="336"/>
      <c r="L123" s="337"/>
    </row>
    <row r="124" spans="1:12" ht="13.8">
      <c r="A124" s="334" t="str">
        <f t="shared" si="14"/>
        <v/>
      </c>
      <c r="B124" s="334" t="str">
        <f t="shared" si="15"/>
        <v/>
      </c>
      <c r="C124" s="334" t="str">
        <f t="shared" si="16"/>
        <v/>
      </c>
      <c r="D124" s="334" t="str">
        <f t="shared" si="17"/>
        <v/>
      </c>
      <c r="E124" s="334" t="str">
        <f t="shared" si="18"/>
        <v/>
      </c>
      <c r="F124" s="334" t="str">
        <f t="shared" si="19"/>
        <v/>
      </c>
      <c r="G124" s="334" t="str">
        <f t="shared" si="20"/>
        <v/>
      </c>
      <c r="K124" s="336"/>
      <c r="L124" s="337"/>
    </row>
    <row r="125" spans="1:12" ht="13.8">
      <c r="A125" s="334" t="str">
        <f t="shared" si="14"/>
        <v/>
      </c>
      <c r="B125" s="334" t="str">
        <f t="shared" si="15"/>
        <v/>
      </c>
      <c r="C125" s="334" t="str">
        <f t="shared" si="16"/>
        <v/>
      </c>
      <c r="D125" s="334" t="str">
        <f t="shared" si="17"/>
        <v/>
      </c>
      <c r="E125" s="334" t="str">
        <f t="shared" si="18"/>
        <v/>
      </c>
      <c r="F125" s="334" t="str">
        <f t="shared" si="19"/>
        <v/>
      </c>
      <c r="G125" s="334" t="str">
        <f t="shared" si="20"/>
        <v/>
      </c>
      <c r="K125" s="336"/>
      <c r="L125" s="337"/>
    </row>
    <row r="126" spans="1:12" ht="13.8">
      <c r="A126" s="334" t="str">
        <f t="shared" si="14"/>
        <v/>
      </c>
      <c r="B126" s="334" t="str">
        <f t="shared" si="15"/>
        <v/>
      </c>
      <c r="C126" s="334" t="str">
        <f t="shared" si="16"/>
        <v/>
      </c>
      <c r="D126" s="334" t="str">
        <f t="shared" si="17"/>
        <v/>
      </c>
      <c r="E126" s="334" t="str">
        <f t="shared" si="18"/>
        <v/>
      </c>
      <c r="F126" s="334" t="str">
        <f t="shared" si="19"/>
        <v/>
      </c>
      <c r="G126" s="334" t="str">
        <f t="shared" si="20"/>
        <v/>
      </c>
      <c r="K126" s="336"/>
      <c r="L126" s="337"/>
    </row>
    <row r="127" spans="1:12" ht="13.8">
      <c r="A127" s="334" t="str">
        <f t="shared" si="14"/>
        <v/>
      </c>
      <c r="B127" s="334" t="str">
        <f t="shared" si="15"/>
        <v/>
      </c>
      <c r="C127" s="334" t="str">
        <f t="shared" si="16"/>
        <v/>
      </c>
      <c r="D127" s="334" t="str">
        <f t="shared" si="17"/>
        <v/>
      </c>
      <c r="E127" s="334" t="str">
        <f t="shared" si="18"/>
        <v/>
      </c>
      <c r="F127" s="334" t="str">
        <f t="shared" si="19"/>
        <v/>
      </c>
      <c r="G127" s="334" t="str">
        <f t="shared" si="20"/>
        <v/>
      </c>
      <c r="K127" s="336"/>
      <c r="L127" s="337"/>
    </row>
    <row r="128" spans="1:12" ht="13.8">
      <c r="A128" s="334" t="str">
        <f t="shared" ref="A128:A191" si="21">IF(LEN(C128)+LEN(D128)+LEN(E128)+LEN(F128)&gt;0, I128, "")</f>
        <v/>
      </c>
      <c r="B128" s="334" t="str">
        <f t="shared" ref="B128:B191" si="22">IF(LEN(C128)+LEN(D128)+LEN(E128)+LEN(F128)&gt;0, H128, "")</f>
        <v/>
      </c>
      <c r="C128" s="334" t="str">
        <f t="shared" ref="C128:C191" si="23">IF(K128="textfield", G128, "")</f>
        <v/>
      </c>
      <c r="D128" s="334" t="str">
        <f t="shared" ref="D128:D191" si="24">IF(K128="radiobutton",G128,IF(K128="checkbox",G128,IF(K128="dropdown",G128,"")))</f>
        <v/>
      </c>
      <c r="E128" s="334" t="str">
        <f t="shared" ref="E128:E191" si="25">IF(K128="richtextfield", G128, "")</f>
        <v/>
      </c>
      <c r="F128" s="334" t="str">
        <f t="shared" ref="F128:F191" si="26">IF(K128="table", G128, IF(K128="fixed_table",G128,""))</f>
        <v/>
      </c>
      <c r="G128" s="334" t="str">
        <f t="shared" ref="G128:G191" si="27">IFERROR(IF(LEN(M128)=0, "", IF(L128="pct",TEXT(M128,"0.00%"),IF(L128="currency",TEXT(M128,"###0.00"),IF(L128="date", TEXT(M128,"YYYY-MM-DD"), IF(L128="float2", TEXT(M128,"0.00"), M128))))),"")</f>
        <v/>
      </c>
      <c r="K128" s="336"/>
      <c r="L128" s="337"/>
    </row>
    <row r="129" spans="1:12" ht="13.8">
      <c r="A129" s="334" t="str">
        <f t="shared" si="21"/>
        <v/>
      </c>
      <c r="B129" s="334" t="str">
        <f t="shared" si="22"/>
        <v/>
      </c>
      <c r="C129" s="334" t="str">
        <f t="shared" si="23"/>
        <v/>
      </c>
      <c r="D129" s="334" t="str">
        <f t="shared" si="24"/>
        <v/>
      </c>
      <c r="E129" s="334" t="str">
        <f t="shared" si="25"/>
        <v/>
      </c>
      <c r="F129" s="334" t="str">
        <f t="shared" si="26"/>
        <v/>
      </c>
      <c r="G129" s="334" t="str">
        <f t="shared" si="27"/>
        <v/>
      </c>
      <c r="K129" s="336"/>
      <c r="L129" s="337"/>
    </row>
    <row r="130" spans="1:12" ht="13.8">
      <c r="A130" s="334" t="str">
        <f t="shared" si="21"/>
        <v/>
      </c>
      <c r="B130" s="334" t="str">
        <f t="shared" si="22"/>
        <v/>
      </c>
      <c r="C130" s="334" t="str">
        <f t="shared" si="23"/>
        <v/>
      </c>
      <c r="D130" s="334" t="str">
        <f t="shared" si="24"/>
        <v/>
      </c>
      <c r="E130" s="334" t="str">
        <f t="shared" si="25"/>
        <v/>
      </c>
      <c r="F130" s="334" t="str">
        <f t="shared" si="26"/>
        <v/>
      </c>
      <c r="G130" s="334" t="str">
        <f t="shared" si="27"/>
        <v/>
      </c>
      <c r="K130" s="336"/>
      <c r="L130" s="337"/>
    </row>
    <row r="131" spans="1:12" ht="13.8">
      <c r="A131" s="334" t="str">
        <f t="shared" si="21"/>
        <v/>
      </c>
      <c r="B131" s="334" t="str">
        <f t="shared" si="22"/>
        <v/>
      </c>
      <c r="C131" s="334" t="str">
        <f t="shared" si="23"/>
        <v/>
      </c>
      <c r="D131" s="334" t="str">
        <f t="shared" si="24"/>
        <v/>
      </c>
      <c r="E131" s="334" t="str">
        <f t="shared" si="25"/>
        <v/>
      </c>
      <c r="F131" s="334" t="str">
        <f t="shared" si="26"/>
        <v/>
      </c>
      <c r="G131" s="334" t="str">
        <f t="shared" si="27"/>
        <v/>
      </c>
      <c r="K131" s="336"/>
      <c r="L131" s="337"/>
    </row>
    <row r="132" spans="1:12" ht="13.8">
      <c r="A132" s="334" t="str">
        <f t="shared" si="21"/>
        <v/>
      </c>
      <c r="B132" s="334" t="str">
        <f t="shared" si="22"/>
        <v/>
      </c>
      <c r="C132" s="334" t="str">
        <f t="shared" si="23"/>
        <v/>
      </c>
      <c r="D132" s="334" t="str">
        <f t="shared" si="24"/>
        <v/>
      </c>
      <c r="E132" s="334" t="str">
        <f t="shared" si="25"/>
        <v/>
      </c>
      <c r="F132" s="334" t="str">
        <f t="shared" si="26"/>
        <v/>
      </c>
      <c r="G132" s="334" t="str">
        <f t="shared" si="27"/>
        <v/>
      </c>
      <c r="K132" s="336"/>
      <c r="L132" s="337"/>
    </row>
    <row r="133" spans="1:12" ht="13.8">
      <c r="A133" s="334" t="str">
        <f t="shared" si="21"/>
        <v/>
      </c>
      <c r="B133" s="334" t="str">
        <f t="shared" si="22"/>
        <v/>
      </c>
      <c r="C133" s="334" t="str">
        <f t="shared" si="23"/>
        <v/>
      </c>
      <c r="D133" s="334" t="str">
        <f t="shared" si="24"/>
        <v/>
      </c>
      <c r="E133" s="334" t="str">
        <f t="shared" si="25"/>
        <v/>
      </c>
      <c r="F133" s="334" t="str">
        <f t="shared" si="26"/>
        <v/>
      </c>
      <c r="G133" s="334" t="str">
        <f t="shared" si="27"/>
        <v/>
      </c>
      <c r="K133" s="336"/>
      <c r="L133" s="337"/>
    </row>
    <row r="134" spans="1:12" ht="13.8">
      <c r="A134" s="334" t="str">
        <f t="shared" si="21"/>
        <v/>
      </c>
      <c r="B134" s="334" t="str">
        <f t="shared" si="22"/>
        <v/>
      </c>
      <c r="C134" s="334" t="str">
        <f t="shared" si="23"/>
        <v/>
      </c>
      <c r="D134" s="334" t="str">
        <f t="shared" si="24"/>
        <v/>
      </c>
      <c r="E134" s="334" t="str">
        <f t="shared" si="25"/>
        <v/>
      </c>
      <c r="F134" s="334" t="str">
        <f t="shared" si="26"/>
        <v/>
      </c>
      <c r="G134" s="334" t="str">
        <f t="shared" si="27"/>
        <v/>
      </c>
      <c r="K134" s="336"/>
      <c r="L134" s="337"/>
    </row>
    <row r="135" spans="1:12" ht="13.8">
      <c r="A135" s="334" t="str">
        <f t="shared" si="21"/>
        <v/>
      </c>
      <c r="B135" s="334" t="str">
        <f t="shared" si="22"/>
        <v/>
      </c>
      <c r="C135" s="334" t="str">
        <f t="shared" si="23"/>
        <v/>
      </c>
      <c r="D135" s="334" t="str">
        <f t="shared" si="24"/>
        <v/>
      </c>
      <c r="E135" s="334" t="str">
        <f t="shared" si="25"/>
        <v/>
      </c>
      <c r="F135" s="334" t="str">
        <f t="shared" si="26"/>
        <v/>
      </c>
      <c r="G135" s="334" t="str">
        <f t="shared" si="27"/>
        <v/>
      </c>
      <c r="K135" s="336"/>
      <c r="L135" s="337"/>
    </row>
    <row r="136" spans="1:12" ht="13.8">
      <c r="A136" s="334" t="str">
        <f t="shared" si="21"/>
        <v/>
      </c>
      <c r="B136" s="334" t="str">
        <f t="shared" si="22"/>
        <v/>
      </c>
      <c r="C136" s="334" t="str">
        <f t="shared" si="23"/>
        <v/>
      </c>
      <c r="D136" s="334" t="str">
        <f t="shared" si="24"/>
        <v/>
      </c>
      <c r="E136" s="334" t="str">
        <f t="shared" si="25"/>
        <v/>
      </c>
      <c r="F136" s="334" t="str">
        <f t="shared" si="26"/>
        <v/>
      </c>
      <c r="G136" s="334" t="str">
        <f t="shared" si="27"/>
        <v/>
      </c>
      <c r="K136" s="336"/>
      <c r="L136" s="337"/>
    </row>
    <row r="137" spans="1:12" ht="13.8">
      <c r="A137" s="334" t="str">
        <f t="shared" si="21"/>
        <v/>
      </c>
      <c r="B137" s="334" t="str">
        <f t="shared" si="22"/>
        <v/>
      </c>
      <c r="C137" s="334" t="str">
        <f t="shared" si="23"/>
        <v/>
      </c>
      <c r="D137" s="334" t="str">
        <f t="shared" si="24"/>
        <v/>
      </c>
      <c r="E137" s="334" t="str">
        <f t="shared" si="25"/>
        <v/>
      </c>
      <c r="F137" s="334" t="str">
        <f t="shared" si="26"/>
        <v/>
      </c>
      <c r="G137" s="334" t="str">
        <f t="shared" si="27"/>
        <v/>
      </c>
      <c r="K137" s="336"/>
      <c r="L137" s="337"/>
    </row>
    <row r="138" spans="1:12" ht="13.8">
      <c r="A138" s="334" t="str">
        <f t="shared" si="21"/>
        <v/>
      </c>
      <c r="B138" s="334" t="str">
        <f t="shared" si="22"/>
        <v/>
      </c>
      <c r="C138" s="334" t="str">
        <f t="shared" si="23"/>
        <v/>
      </c>
      <c r="D138" s="334" t="str">
        <f t="shared" si="24"/>
        <v/>
      </c>
      <c r="E138" s="334" t="str">
        <f t="shared" si="25"/>
        <v/>
      </c>
      <c r="F138" s="334" t="str">
        <f t="shared" si="26"/>
        <v/>
      </c>
      <c r="G138" s="334" t="str">
        <f t="shared" si="27"/>
        <v/>
      </c>
      <c r="K138" s="336"/>
      <c r="L138" s="337"/>
    </row>
    <row r="139" spans="1:12" ht="13.8">
      <c r="A139" s="334" t="str">
        <f t="shared" si="21"/>
        <v/>
      </c>
      <c r="B139" s="334" t="str">
        <f t="shared" si="22"/>
        <v/>
      </c>
      <c r="C139" s="334" t="str">
        <f t="shared" si="23"/>
        <v/>
      </c>
      <c r="D139" s="334" t="str">
        <f t="shared" si="24"/>
        <v/>
      </c>
      <c r="E139" s="334" t="str">
        <f t="shared" si="25"/>
        <v/>
      </c>
      <c r="F139" s="334" t="str">
        <f t="shared" si="26"/>
        <v/>
      </c>
      <c r="G139" s="334" t="str">
        <f t="shared" si="27"/>
        <v/>
      </c>
      <c r="K139" s="336"/>
      <c r="L139" s="337"/>
    </row>
    <row r="140" spans="1:12" ht="13.8">
      <c r="A140" s="334" t="str">
        <f t="shared" si="21"/>
        <v/>
      </c>
      <c r="B140" s="334" t="str">
        <f t="shared" si="22"/>
        <v/>
      </c>
      <c r="C140" s="334" t="str">
        <f t="shared" si="23"/>
        <v/>
      </c>
      <c r="D140" s="334" t="str">
        <f t="shared" si="24"/>
        <v/>
      </c>
      <c r="E140" s="334" t="str">
        <f t="shared" si="25"/>
        <v/>
      </c>
      <c r="F140" s="334" t="str">
        <f t="shared" si="26"/>
        <v/>
      </c>
      <c r="G140" s="334" t="str">
        <f t="shared" si="27"/>
        <v/>
      </c>
      <c r="K140" s="336"/>
      <c r="L140" s="337"/>
    </row>
    <row r="141" spans="1:12" ht="13.8">
      <c r="A141" s="334" t="str">
        <f t="shared" si="21"/>
        <v/>
      </c>
      <c r="B141" s="334" t="str">
        <f t="shared" si="22"/>
        <v/>
      </c>
      <c r="C141" s="334" t="str">
        <f t="shared" si="23"/>
        <v/>
      </c>
      <c r="D141" s="334" t="str">
        <f t="shared" si="24"/>
        <v/>
      </c>
      <c r="E141" s="334" t="str">
        <f t="shared" si="25"/>
        <v/>
      </c>
      <c r="F141" s="334" t="str">
        <f t="shared" si="26"/>
        <v/>
      </c>
      <c r="G141" s="334" t="str">
        <f t="shared" si="27"/>
        <v/>
      </c>
      <c r="K141" s="336"/>
      <c r="L141" s="337"/>
    </row>
    <row r="142" spans="1:12" ht="13.8">
      <c r="A142" s="334" t="str">
        <f t="shared" si="21"/>
        <v/>
      </c>
      <c r="B142" s="334" t="str">
        <f t="shared" si="22"/>
        <v/>
      </c>
      <c r="C142" s="334" t="str">
        <f t="shared" si="23"/>
        <v/>
      </c>
      <c r="D142" s="334" t="str">
        <f t="shared" si="24"/>
        <v/>
      </c>
      <c r="E142" s="334" t="str">
        <f t="shared" si="25"/>
        <v/>
      </c>
      <c r="F142" s="334" t="str">
        <f t="shared" si="26"/>
        <v/>
      </c>
      <c r="G142" s="334" t="str">
        <f t="shared" si="27"/>
        <v/>
      </c>
      <c r="K142" s="336"/>
      <c r="L142" s="337"/>
    </row>
    <row r="143" spans="1:12" ht="13.8">
      <c r="A143" s="334" t="str">
        <f t="shared" si="21"/>
        <v/>
      </c>
      <c r="B143" s="334" t="str">
        <f t="shared" si="22"/>
        <v/>
      </c>
      <c r="C143" s="334" t="str">
        <f t="shared" si="23"/>
        <v/>
      </c>
      <c r="D143" s="334" t="str">
        <f t="shared" si="24"/>
        <v/>
      </c>
      <c r="E143" s="334" t="str">
        <f t="shared" si="25"/>
        <v/>
      </c>
      <c r="F143" s="334" t="str">
        <f t="shared" si="26"/>
        <v/>
      </c>
      <c r="G143" s="334" t="str">
        <f t="shared" si="27"/>
        <v/>
      </c>
      <c r="K143" s="336"/>
      <c r="L143" s="337"/>
    </row>
    <row r="144" spans="1:12" ht="13.8">
      <c r="A144" s="334" t="str">
        <f t="shared" si="21"/>
        <v/>
      </c>
      <c r="B144" s="334" t="str">
        <f t="shared" si="22"/>
        <v/>
      </c>
      <c r="C144" s="334" t="str">
        <f t="shared" si="23"/>
        <v/>
      </c>
      <c r="D144" s="334" t="str">
        <f t="shared" si="24"/>
        <v/>
      </c>
      <c r="E144" s="334" t="str">
        <f t="shared" si="25"/>
        <v/>
      </c>
      <c r="F144" s="334" t="str">
        <f t="shared" si="26"/>
        <v/>
      </c>
      <c r="G144" s="334" t="str">
        <f t="shared" si="27"/>
        <v/>
      </c>
      <c r="K144" s="336"/>
      <c r="L144" s="337"/>
    </row>
    <row r="145" spans="1:12" ht="13.8">
      <c r="A145" s="334" t="str">
        <f t="shared" si="21"/>
        <v/>
      </c>
      <c r="B145" s="334" t="str">
        <f t="shared" si="22"/>
        <v/>
      </c>
      <c r="C145" s="334" t="str">
        <f t="shared" si="23"/>
        <v/>
      </c>
      <c r="D145" s="334" t="str">
        <f t="shared" si="24"/>
        <v/>
      </c>
      <c r="E145" s="334" t="str">
        <f t="shared" si="25"/>
        <v/>
      </c>
      <c r="F145" s="334" t="str">
        <f t="shared" si="26"/>
        <v/>
      </c>
      <c r="G145" s="334" t="str">
        <f t="shared" si="27"/>
        <v/>
      </c>
      <c r="K145" s="336"/>
      <c r="L145" s="337"/>
    </row>
    <row r="146" spans="1:12" ht="13.8">
      <c r="A146" s="334" t="str">
        <f t="shared" si="21"/>
        <v/>
      </c>
      <c r="B146" s="334" t="str">
        <f t="shared" si="22"/>
        <v/>
      </c>
      <c r="C146" s="334" t="str">
        <f t="shared" si="23"/>
        <v/>
      </c>
      <c r="D146" s="334" t="str">
        <f t="shared" si="24"/>
        <v/>
      </c>
      <c r="E146" s="334" t="str">
        <f t="shared" si="25"/>
        <v/>
      </c>
      <c r="F146" s="334" t="str">
        <f t="shared" si="26"/>
        <v/>
      </c>
      <c r="G146" s="334" t="str">
        <f t="shared" si="27"/>
        <v/>
      </c>
      <c r="K146" s="336"/>
      <c r="L146" s="337"/>
    </row>
    <row r="147" spans="1:12" ht="13.8">
      <c r="A147" s="334" t="str">
        <f t="shared" si="21"/>
        <v/>
      </c>
      <c r="B147" s="334" t="str">
        <f t="shared" si="22"/>
        <v/>
      </c>
      <c r="C147" s="334" t="str">
        <f t="shared" si="23"/>
        <v/>
      </c>
      <c r="D147" s="334" t="str">
        <f t="shared" si="24"/>
        <v/>
      </c>
      <c r="E147" s="334" t="str">
        <f t="shared" si="25"/>
        <v/>
      </c>
      <c r="F147" s="334" t="str">
        <f t="shared" si="26"/>
        <v/>
      </c>
      <c r="G147" s="334" t="str">
        <f t="shared" si="27"/>
        <v/>
      </c>
      <c r="K147" s="336"/>
      <c r="L147" s="337"/>
    </row>
    <row r="148" spans="1:12" ht="13.8">
      <c r="A148" s="334" t="str">
        <f t="shared" si="21"/>
        <v/>
      </c>
      <c r="B148" s="334" t="str">
        <f t="shared" si="22"/>
        <v/>
      </c>
      <c r="C148" s="334" t="str">
        <f t="shared" si="23"/>
        <v/>
      </c>
      <c r="D148" s="334" t="str">
        <f t="shared" si="24"/>
        <v/>
      </c>
      <c r="E148" s="334" t="str">
        <f t="shared" si="25"/>
        <v/>
      </c>
      <c r="F148" s="334" t="str">
        <f t="shared" si="26"/>
        <v/>
      </c>
      <c r="G148" s="334" t="str">
        <f t="shared" si="27"/>
        <v/>
      </c>
      <c r="K148" s="336"/>
      <c r="L148" s="337"/>
    </row>
    <row r="149" spans="1:12" ht="13.8">
      <c r="A149" s="334" t="str">
        <f t="shared" si="21"/>
        <v/>
      </c>
      <c r="B149" s="334" t="str">
        <f t="shared" si="22"/>
        <v/>
      </c>
      <c r="C149" s="334" t="str">
        <f t="shared" si="23"/>
        <v/>
      </c>
      <c r="D149" s="334" t="str">
        <f t="shared" si="24"/>
        <v/>
      </c>
      <c r="E149" s="334" t="str">
        <f t="shared" si="25"/>
        <v/>
      </c>
      <c r="F149" s="334" t="str">
        <f t="shared" si="26"/>
        <v/>
      </c>
      <c r="G149" s="334" t="str">
        <f t="shared" si="27"/>
        <v/>
      </c>
      <c r="K149" s="336"/>
      <c r="L149" s="337"/>
    </row>
    <row r="150" spans="1:12" ht="13.8">
      <c r="A150" s="334" t="str">
        <f t="shared" si="21"/>
        <v/>
      </c>
      <c r="B150" s="334" t="str">
        <f t="shared" si="22"/>
        <v/>
      </c>
      <c r="C150" s="334" t="str">
        <f t="shared" si="23"/>
        <v/>
      </c>
      <c r="D150" s="334" t="str">
        <f t="shared" si="24"/>
        <v/>
      </c>
      <c r="E150" s="334" t="str">
        <f t="shared" si="25"/>
        <v/>
      </c>
      <c r="F150" s="334" t="str">
        <f t="shared" si="26"/>
        <v/>
      </c>
      <c r="G150" s="334" t="str">
        <f t="shared" si="27"/>
        <v/>
      </c>
      <c r="K150" s="336"/>
      <c r="L150" s="337"/>
    </row>
    <row r="151" spans="1:12" ht="13.8">
      <c r="A151" s="334" t="str">
        <f t="shared" si="21"/>
        <v/>
      </c>
      <c r="B151" s="334" t="str">
        <f t="shared" si="22"/>
        <v/>
      </c>
      <c r="C151" s="334" t="str">
        <f t="shared" si="23"/>
        <v/>
      </c>
      <c r="D151" s="334" t="str">
        <f t="shared" si="24"/>
        <v/>
      </c>
      <c r="E151" s="334" t="str">
        <f t="shared" si="25"/>
        <v/>
      </c>
      <c r="F151" s="334" t="str">
        <f t="shared" si="26"/>
        <v/>
      </c>
      <c r="G151" s="334" t="str">
        <f t="shared" si="27"/>
        <v/>
      </c>
      <c r="K151" s="336"/>
      <c r="L151" s="337"/>
    </row>
    <row r="152" spans="1:12" ht="13.8">
      <c r="A152" s="334" t="str">
        <f t="shared" si="21"/>
        <v/>
      </c>
      <c r="B152" s="334" t="str">
        <f t="shared" si="22"/>
        <v/>
      </c>
      <c r="C152" s="334" t="str">
        <f t="shared" si="23"/>
        <v/>
      </c>
      <c r="D152" s="334" t="str">
        <f t="shared" si="24"/>
        <v/>
      </c>
      <c r="E152" s="334" t="str">
        <f t="shared" si="25"/>
        <v/>
      </c>
      <c r="F152" s="334" t="str">
        <f t="shared" si="26"/>
        <v/>
      </c>
      <c r="G152" s="334" t="str">
        <f t="shared" si="27"/>
        <v/>
      </c>
      <c r="K152" s="336"/>
      <c r="L152" s="337"/>
    </row>
    <row r="153" spans="1:12" ht="13.8">
      <c r="A153" s="334" t="str">
        <f t="shared" si="21"/>
        <v/>
      </c>
      <c r="B153" s="334" t="str">
        <f t="shared" si="22"/>
        <v/>
      </c>
      <c r="C153" s="334" t="str">
        <f t="shared" si="23"/>
        <v/>
      </c>
      <c r="D153" s="334" t="str">
        <f t="shared" si="24"/>
        <v/>
      </c>
      <c r="E153" s="334" t="str">
        <f t="shared" si="25"/>
        <v/>
      </c>
      <c r="F153" s="334" t="str">
        <f t="shared" si="26"/>
        <v/>
      </c>
      <c r="G153" s="334" t="str">
        <f t="shared" si="27"/>
        <v/>
      </c>
      <c r="K153" s="336"/>
      <c r="L153" s="337"/>
    </row>
    <row r="154" spans="1:12" ht="13.8">
      <c r="A154" s="334" t="str">
        <f t="shared" si="21"/>
        <v/>
      </c>
      <c r="B154" s="334" t="str">
        <f t="shared" si="22"/>
        <v/>
      </c>
      <c r="C154" s="334" t="str">
        <f t="shared" si="23"/>
        <v/>
      </c>
      <c r="D154" s="334" t="str">
        <f t="shared" si="24"/>
        <v/>
      </c>
      <c r="E154" s="334" t="str">
        <f t="shared" si="25"/>
        <v/>
      </c>
      <c r="F154" s="334" t="str">
        <f t="shared" si="26"/>
        <v/>
      </c>
      <c r="G154" s="334" t="str">
        <f t="shared" si="27"/>
        <v/>
      </c>
      <c r="K154" s="336"/>
      <c r="L154" s="337"/>
    </row>
    <row r="155" spans="1:12" ht="13.8">
      <c r="A155" s="334" t="str">
        <f t="shared" si="21"/>
        <v/>
      </c>
      <c r="B155" s="334" t="str">
        <f t="shared" si="22"/>
        <v/>
      </c>
      <c r="C155" s="334" t="str">
        <f t="shared" si="23"/>
        <v/>
      </c>
      <c r="D155" s="334" t="str">
        <f t="shared" si="24"/>
        <v/>
      </c>
      <c r="E155" s="334" t="str">
        <f t="shared" si="25"/>
        <v/>
      </c>
      <c r="F155" s="334" t="str">
        <f t="shared" si="26"/>
        <v/>
      </c>
      <c r="G155" s="334" t="str">
        <f t="shared" si="27"/>
        <v/>
      </c>
      <c r="K155" s="336"/>
      <c r="L155" s="337"/>
    </row>
    <row r="156" spans="1:12" ht="13.8">
      <c r="A156" s="334" t="str">
        <f t="shared" si="21"/>
        <v/>
      </c>
      <c r="B156" s="334" t="str">
        <f t="shared" si="22"/>
        <v/>
      </c>
      <c r="C156" s="334" t="str">
        <f t="shared" si="23"/>
        <v/>
      </c>
      <c r="D156" s="334" t="str">
        <f t="shared" si="24"/>
        <v/>
      </c>
      <c r="E156" s="334" t="str">
        <f t="shared" si="25"/>
        <v/>
      </c>
      <c r="F156" s="334" t="str">
        <f t="shared" si="26"/>
        <v/>
      </c>
      <c r="G156" s="334" t="str">
        <f t="shared" si="27"/>
        <v/>
      </c>
      <c r="K156" s="336"/>
      <c r="L156" s="337"/>
    </row>
    <row r="157" spans="1:12" ht="13.8">
      <c r="A157" s="334" t="str">
        <f t="shared" si="21"/>
        <v/>
      </c>
      <c r="B157" s="334" t="str">
        <f t="shared" si="22"/>
        <v/>
      </c>
      <c r="C157" s="334" t="str">
        <f t="shared" si="23"/>
        <v/>
      </c>
      <c r="D157" s="334" t="str">
        <f t="shared" si="24"/>
        <v/>
      </c>
      <c r="E157" s="334" t="str">
        <f t="shared" si="25"/>
        <v/>
      </c>
      <c r="F157" s="334" t="str">
        <f t="shared" si="26"/>
        <v/>
      </c>
      <c r="G157" s="334" t="str">
        <f t="shared" si="27"/>
        <v/>
      </c>
      <c r="K157" s="336"/>
      <c r="L157" s="337"/>
    </row>
    <row r="158" spans="1:12" ht="13.8">
      <c r="A158" s="334" t="str">
        <f t="shared" si="21"/>
        <v/>
      </c>
      <c r="B158" s="334" t="str">
        <f t="shared" si="22"/>
        <v/>
      </c>
      <c r="C158" s="334" t="str">
        <f t="shared" si="23"/>
        <v/>
      </c>
      <c r="D158" s="334" t="str">
        <f t="shared" si="24"/>
        <v/>
      </c>
      <c r="E158" s="334" t="str">
        <f t="shared" si="25"/>
        <v/>
      </c>
      <c r="F158" s="334" t="str">
        <f t="shared" si="26"/>
        <v/>
      </c>
      <c r="G158" s="334" t="str">
        <f t="shared" si="27"/>
        <v/>
      </c>
      <c r="K158" s="336"/>
      <c r="L158" s="337"/>
    </row>
    <row r="159" spans="1:12" ht="13.8">
      <c r="A159" s="334" t="str">
        <f t="shared" si="21"/>
        <v/>
      </c>
      <c r="B159" s="334" t="str">
        <f t="shared" si="22"/>
        <v/>
      </c>
      <c r="C159" s="334" t="str">
        <f t="shared" si="23"/>
        <v/>
      </c>
      <c r="D159" s="334" t="str">
        <f t="shared" si="24"/>
        <v/>
      </c>
      <c r="E159" s="334" t="str">
        <f t="shared" si="25"/>
        <v/>
      </c>
      <c r="F159" s="334" t="str">
        <f t="shared" si="26"/>
        <v/>
      </c>
      <c r="G159" s="334" t="str">
        <f t="shared" si="27"/>
        <v/>
      </c>
      <c r="K159" s="336"/>
      <c r="L159" s="337"/>
    </row>
    <row r="160" spans="1:12" ht="13.8">
      <c r="A160" s="334" t="str">
        <f t="shared" si="21"/>
        <v/>
      </c>
      <c r="B160" s="334" t="str">
        <f t="shared" si="22"/>
        <v/>
      </c>
      <c r="C160" s="334" t="str">
        <f t="shared" si="23"/>
        <v/>
      </c>
      <c r="D160" s="334" t="str">
        <f t="shared" si="24"/>
        <v/>
      </c>
      <c r="E160" s="334" t="str">
        <f t="shared" si="25"/>
        <v/>
      </c>
      <c r="F160" s="334" t="str">
        <f t="shared" si="26"/>
        <v/>
      </c>
      <c r="G160" s="334" t="str">
        <f t="shared" si="27"/>
        <v/>
      </c>
      <c r="K160" s="336"/>
      <c r="L160" s="337"/>
    </row>
    <row r="161" spans="1:12" ht="13.8">
      <c r="A161" s="334" t="str">
        <f t="shared" si="21"/>
        <v/>
      </c>
      <c r="B161" s="334" t="str">
        <f t="shared" si="22"/>
        <v/>
      </c>
      <c r="C161" s="334" t="str">
        <f t="shared" si="23"/>
        <v/>
      </c>
      <c r="D161" s="334" t="str">
        <f t="shared" si="24"/>
        <v/>
      </c>
      <c r="E161" s="334" t="str">
        <f t="shared" si="25"/>
        <v/>
      </c>
      <c r="F161" s="334" t="str">
        <f t="shared" si="26"/>
        <v/>
      </c>
      <c r="G161" s="334" t="str">
        <f t="shared" si="27"/>
        <v/>
      </c>
      <c r="K161" s="336"/>
      <c r="L161" s="337"/>
    </row>
    <row r="162" spans="1:12" ht="13.8">
      <c r="A162" s="334" t="str">
        <f t="shared" si="21"/>
        <v/>
      </c>
      <c r="B162" s="334" t="str">
        <f t="shared" si="22"/>
        <v/>
      </c>
      <c r="C162" s="334" t="str">
        <f t="shared" si="23"/>
        <v/>
      </c>
      <c r="D162" s="334" t="str">
        <f t="shared" si="24"/>
        <v/>
      </c>
      <c r="E162" s="334" t="str">
        <f t="shared" si="25"/>
        <v/>
      </c>
      <c r="F162" s="334" t="str">
        <f t="shared" si="26"/>
        <v/>
      </c>
      <c r="G162" s="334" t="str">
        <f t="shared" si="27"/>
        <v/>
      </c>
      <c r="K162" s="336"/>
      <c r="L162" s="337"/>
    </row>
    <row r="163" spans="1:12" ht="13.8">
      <c r="A163" s="334" t="str">
        <f t="shared" si="21"/>
        <v/>
      </c>
      <c r="B163" s="334" t="str">
        <f t="shared" si="22"/>
        <v/>
      </c>
      <c r="C163" s="334" t="str">
        <f t="shared" si="23"/>
        <v/>
      </c>
      <c r="D163" s="334" t="str">
        <f t="shared" si="24"/>
        <v/>
      </c>
      <c r="E163" s="334" t="str">
        <f t="shared" si="25"/>
        <v/>
      </c>
      <c r="F163" s="334" t="str">
        <f t="shared" si="26"/>
        <v/>
      </c>
      <c r="G163" s="334" t="str">
        <f t="shared" si="27"/>
        <v/>
      </c>
      <c r="K163" s="336"/>
      <c r="L163" s="337"/>
    </row>
    <row r="164" spans="1:12" ht="13.8">
      <c r="A164" s="334" t="str">
        <f t="shared" si="21"/>
        <v/>
      </c>
      <c r="B164" s="334" t="str">
        <f t="shared" si="22"/>
        <v/>
      </c>
      <c r="C164" s="334" t="str">
        <f t="shared" si="23"/>
        <v/>
      </c>
      <c r="D164" s="334" t="str">
        <f t="shared" si="24"/>
        <v/>
      </c>
      <c r="E164" s="334" t="str">
        <f t="shared" si="25"/>
        <v/>
      </c>
      <c r="F164" s="334" t="str">
        <f t="shared" si="26"/>
        <v/>
      </c>
      <c r="G164" s="334" t="str">
        <f t="shared" si="27"/>
        <v/>
      </c>
      <c r="K164" s="336"/>
      <c r="L164" s="337"/>
    </row>
    <row r="165" spans="1:12" ht="13.8">
      <c r="A165" s="334" t="str">
        <f t="shared" si="21"/>
        <v/>
      </c>
      <c r="B165" s="334" t="str">
        <f t="shared" si="22"/>
        <v/>
      </c>
      <c r="C165" s="334" t="str">
        <f t="shared" si="23"/>
        <v/>
      </c>
      <c r="D165" s="334" t="str">
        <f t="shared" si="24"/>
        <v/>
      </c>
      <c r="E165" s="334" t="str">
        <f t="shared" si="25"/>
        <v/>
      </c>
      <c r="F165" s="334" t="str">
        <f t="shared" si="26"/>
        <v/>
      </c>
      <c r="G165" s="334" t="str">
        <f t="shared" si="27"/>
        <v/>
      </c>
      <c r="K165" s="336"/>
      <c r="L165" s="337"/>
    </row>
    <row r="166" spans="1:12" ht="13.8">
      <c r="A166" s="334" t="str">
        <f t="shared" si="21"/>
        <v/>
      </c>
      <c r="B166" s="334" t="str">
        <f t="shared" si="22"/>
        <v/>
      </c>
      <c r="C166" s="334" t="str">
        <f t="shared" si="23"/>
        <v/>
      </c>
      <c r="D166" s="334" t="str">
        <f t="shared" si="24"/>
        <v/>
      </c>
      <c r="E166" s="334" t="str">
        <f t="shared" si="25"/>
        <v/>
      </c>
      <c r="F166" s="334" t="str">
        <f t="shared" si="26"/>
        <v/>
      </c>
      <c r="G166" s="334" t="str">
        <f t="shared" si="27"/>
        <v/>
      </c>
      <c r="K166" s="336"/>
      <c r="L166" s="337"/>
    </row>
    <row r="167" spans="1:12" ht="13.8">
      <c r="A167" s="334" t="str">
        <f t="shared" si="21"/>
        <v/>
      </c>
      <c r="B167" s="334" t="str">
        <f t="shared" si="22"/>
        <v/>
      </c>
      <c r="C167" s="334" t="str">
        <f t="shared" si="23"/>
        <v/>
      </c>
      <c r="D167" s="334" t="str">
        <f t="shared" si="24"/>
        <v/>
      </c>
      <c r="E167" s="334" t="str">
        <f t="shared" si="25"/>
        <v/>
      </c>
      <c r="F167" s="334" t="str">
        <f t="shared" si="26"/>
        <v/>
      </c>
      <c r="G167" s="334" t="str">
        <f t="shared" si="27"/>
        <v/>
      </c>
      <c r="K167" s="336"/>
      <c r="L167" s="337"/>
    </row>
    <row r="168" spans="1:12" ht="13.8">
      <c r="A168" s="334" t="str">
        <f t="shared" si="21"/>
        <v/>
      </c>
      <c r="B168" s="334" t="str">
        <f t="shared" si="22"/>
        <v/>
      </c>
      <c r="C168" s="334" t="str">
        <f t="shared" si="23"/>
        <v/>
      </c>
      <c r="D168" s="334" t="str">
        <f t="shared" si="24"/>
        <v/>
      </c>
      <c r="E168" s="334" t="str">
        <f t="shared" si="25"/>
        <v/>
      </c>
      <c r="F168" s="334" t="str">
        <f t="shared" si="26"/>
        <v/>
      </c>
      <c r="G168" s="334" t="str">
        <f t="shared" si="27"/>
        <v/>
      </c>
      <c r="K168" s="336"/>
      <c r="L168" s="337"/>
    </row>
    <row r="169" spans="1:12" ht="13.8">
      <c r="A169" s="334" t="str">
        <f t="shared" si="21"/>
        <v/>
      </c>
      <c r="B169" s="334" t="str">
        <f t="shared" si="22"/>
        <v/>
      </c>
      <c r="C169" s="334" t="str">
        <f t="shared" si="23"/>
        <v/>
      </c>
      <c r="D169" s="334" t="str">
        <f t="shared" si="24"/>
        <v/>
      </c>
      <c r="E169" s="334" t="str">
        <f t="shared" si="25"/>
        <v/>
      </c>
      <c r="F169" s="334" t="str">
        <f t="shared" si="26"/>
        <v/>
      </c>
      <c r="G169" s="334" t="str">
        <f t="shared" si="27"/>
        <v/>
      </c>
      <c r="K169" s="336"/>
      <c r="L169" s="337"/>
    </row>
    <row r="170" spans="1:12" ht="13.8">
      <c r="A170" s="334" t="str">
        <f t="shared" si="21"/>
        <v/>
      </c>
      <c r="B170" s="334" t="str">
        <f t="shared" si="22"/>
        <v/>
      </c>
      <c r="C170" s="334" t="str">
        <f t="shared" si="23"/>
        <v/>
      </c>
      <c r="D170" s="334" t="str">
        <f t="shared" si="24"/>
        <v/>
      </c>
      <c r="E170" s="334" t="str">
        <f t="shared" si="25"/>
        <v/>
      </c>
      <c r="F170" s="334" t="str">
        <f t="shared" si="26"/>
        <v/>
      </c>
      <c r="G170" s="334" t="str">
        <f t="shared" si="27"/>
        <v/>
      </c>
      <c r="K170" s="336"/>
      <c r="L170" s="337"/>
    </row>
    <row r="171" spans="1:12" ht="13.8">
      <c r="A171" s="334" t="str">
        <f t="shared" si="21"/>
        <v/>
      </c>
      <c r="B171" s="334" t="str">
        <f t="shared" si="22"/>
        <v/>
      </c>
      <c r="C171" s="334" t="str">
        <f t="shared" si="23"/>
        <v/>
      </c>
      <c r="D171" s="334" t="str">
        <f t="shared" si="24"/>
        <v/>
      </c>
      <c r="E171" s="334" t="str">
        <f t="shared" si="25"/>
        <v/>
      </c>
      <c r="F171" s="334" t="str">
        <f t="shared" si="26"/>
        <v/>
      </c>
      <c r="G171" s="334" t="str">
        <f t="shared" si="27"/>
        <v/>
      </c>
      <c r="K171" s="336"/>
      <c r="L171" s="337"/>
    </row>
    <row r="172" spans="1:12" ht="13.8">
      <c r="A172" s="334" t="str">
        <f t="shared" si="21"/>
        <v/>
      </c>
      <c r="B172" s="334" t="str">
        <f t="shared" si="22"/>
        <v/>
      </c>
      <c r="C172" s="334" t="str">
        <f t="shared" si="23"/>
        <v/>
      </c>
      <c r="D172" s="334" t="str">
        <f t="shared" si="24"/>
        <v/>
      </c>
      <c r="E172" s="334" t="str">
        <f t="shared" si="25"/>
        <v/>
      </c>
      <c r="F172" s="334" t="str">
        <f t="shared" si="26"/>
        <v/>
      </c>
      <c r="G172" s="334" t="str">
        <f t="shared" si="27"/>
        <v/>
      </c>
      <c r="K172" s="336"/>
      <c r="L172" s="337"/>
    </row>
    <row r="173" spans="1:12" ht="13.8">
      <c r="A173" s="334" t="str">
        <f t="shared" si="21"/>
        <v/>
      </c>
      <c r="B173" s="334" t="str">
        <f t="shared" si="22"/>
        <v/>
      </c>
      <c r="C173" s="334" t="str">
        <f t="shared" si="23"/>
        <v/>
      </c>
      <c r="D173" s="334" t="str">
        <f t="shared" si="24"/>
        <v/>
      </c>
      <c r="E173" s="334" t="str">
        <f t="shared" si="25"/>
        <v/>
      </c>
      <c r="F173" s="334" t="str">
        <f t="shared" si="26"/>
        <v/>
      </c>
      <c r="G173" s="334" t="str">
        <f t="shared" si="27"/>
        <v/>
      </c>
      <c r="K173" s="336"/>
      <c r="L173" s="337"/>
    </row>
    <row r="174" spans="1:12" ht="13.8">
      <c r="A174" s="334" t="str">
        <f t="shared" si="21"/>
        <v/>
      </c>
      <c r="B174" s="334" t="str">
        <f t="shared" si="22"/>
        <v/>
      </c>
      <c r="C174" s="334" t="str">
        <f t="shared" si="23"/>
        <v/>
      </c>
      <c r="D174" s="334" t="str">
        <f t="shared" si="24"/>
        <v/>
      </c>
      <c r="E174" s="334" t="str">
        <f t="shared" si="25"/>
        <v/>
      </c>
      <c r="F174" s="334" t="str">
        <f t="shared" si="26"/>
        <v/>
      </c>
      <c r="G174" s="334" t="str">
        <f t="shared" si="27"/>
        <v/>
      </c>
      <c r="K174" s="336"/>
      <c r="L174" s="337"/>
    </row>
    <row r="175" spans="1:12" ht="13.8">
      <c r="A175" s="334" t="str">
        <f t="shared" si="21"/>
        <v/>
      </c>
      <c r="B175" s="334" t="str">
        <f t="shared" si="22"/>
        <v/>
      </c>
      <c r="C175" s="334" t="str">
        <f t="shared" si="23"/>
        <v/>
      </c>
      <c r="D175" s="334" t="str">
        <f t="shared" si="24"/>
        <v/>
      </c>
      <c r="E175" s="334" t="str">
        <f t="shared" si="25"/>
        <v/>
      </c>
      <c r="F175" s="334" t="str">
        <f t="shared" si="26"/>
        <v/>
      </c>
      <c r="G175" s="334" t="str">
        <f t="shared" si="27"/>
        <v/>
      </c>
      <c r="K175" s="336"/>
      <c r="L175" s="337"/>
    </row>
    <row r="176" spans="1:12" ht="13.8">
      <c r="A176" s="334" t="str">
        <f t="shared" si="21"/>
        <v/>
      </c>
      <c r="B176" s="334" t="str">
        <f t="shared" si="22"/>
        <v/>
      </c>
      <c r="C176" s="334" t="str">
        <f t="shared" si="23"/>
        <v/>
      </c>
      <c r="D176" s="334" t="str">
        <f t="shared" si="24"/>
        <v/>
      </c>
      <c r="E176" s="334" t="str">
        <f t="shared" si="25"/>
        <v/>
      </c>
      <c r="F176" s="334" t="str">
        <f t="shared" si="26"/>
        <v/>
      </c>
      <c r="G176" s="334" t="str">
        <f t="shared" si="27"/>
        <v/>
      </c>
      <c r="K176" s="336"/>
      <c r="L176" s="337"/>
    </row>
    <row r="177" spans="1:12" ht="13.8">
      <c r="A177" s="334" t="str">
        <f t="shared" si="21"/>
        <v/>
      </c>
      <c r="B177" s="334" t="str">
        <f t="shared" si="22"/>
        <v/>
      </c>
      <c r="C177" s="334" t="str">
        <f t="shared" si="23"/>
        <v/>
      </c>
      <c r="D177" s="334" t="str">
        <f t="shared" si="24"/>
        <v/>
      </c>
      <c r="E177" s="334" t="str">
        <f t="shared" si="25"/>
        <v/>
      </c>
      <c r="F177" s="334" t="str">
        <f t="shared" si="26"/>
        <v/>
      </c>
      <c r="G177" s="334" t="str">
        <f t="shared" si="27"/>
        <v/>
      </c>
      <c r="K177" s="336"/>
      <c r="L177" s="337"/>
    </row>
    <row r="178" spans="1:12" ht="13.8">
      <c r="A178" s="334" t="str">
        <f t="shared" si="21"/>
        <v/>
      </c>
      <c r="B178" s="334" t="str">
        <f t="shared" si="22"/>
        <v/>
      </c>
      <c r="C178" s="334" t="str">
        <f t="shared" si="23"/>
        <v/>
      </c>
      <c r="D178" s="334" t="str">
        <f t="shared" si="24"/>
        <v/>
      </c>
      <c r="E178" s="334" t="str">
        <f t="shared" si="25"/>
        <v/>
      </c>
      <c r="F178" s="334" t="str">
        <f t="shared" si="26"/>
        <v/>
      </c>
      <c r="G178" s="334" t="str">
        <f t="shared" si="27"/>
        <v/>
      </c>
      <c r="K178" s="336"/>
      <c r="L178" s="337"/>
    </row>
    <row r="179" spans="1:12" ht="13.8">
      <c r="A179" s="334" t="str">
        <f t="shared" si="21"/>
        <v/>
      </c>
      <c r="B179" s="334" t="str">
        <f t="shared" si="22"/>
        <v/>
      </c>
      <c r="C179" s="334" t="str">
        <f t="shared" si="23"/>
        <v/>
      </c>
      <c r="D179" s="334" t="str">
        <f t="shared" si="24"/>
        <v/>
      </c>
      <c r="E179" s="334" t="str">
        <f t="shared" si="25"/>
        <v/>
      </c>
      <c r="F179" s="334" t="str">
        <f t="shared" si="26"/>
        <v/>
      </c>
      <c r="G179" s="334" t="str">
        <f t="shared" si="27"/>
        <v/>
      </c>
      <c r="K179" s="336"/>
      <c r="L179" s="337"/>
    </row>
    <row r="180" spans="1:12" ht="13.8">
      <c r="A180" s="334" t="str">
        <f t="shared" si="21"/>
        <v/>
      </c>
      <c r="B180" s="334" t="str">
        <f t="shared" si="22"/>
        <v/>
      </c>
      <c r="C180" s="334" t="str">
        <f t="shared" si="23"/>
        <v/>
      </c>
      <c r="D180" s="334" t="str">
        <f t="shared" si="24"/>
        <v/>
      </c>
      <c r="E180" s="334" t="str">
        <f t="shared" si="25"/>
        <v/>
      </c>
      <c r="F180" s="334" t="str">
        <f t="shared" si="26"/>
        <v/>
      </c>
      <c r="G180" s="334" t="str">
        <f t="shared" si="27"/>
        <v/>
      </c>
      <c r="K180" s="336"/>
      <c r="L180" s="337"/>
    </row>
    <row r="181" spans="1:12" ht="13.8">
      <c r="A181" s="334" t="str">
        <f t="shared" si="21"/>
        <v/>
      </c>
      <c r="B181" s="334" t="str">
        <f t="shared" si="22"/>
        <v/>
      </c>
      <c r="C181" s="334" t="str">
        <f t="shared" si="23"/>
        <v/>
      </c>
      <c r="D181" s="334" t="str">
        <f t="shared" si="24"/>
        <v/>
      </c>
      <c r="E181" s="334" t="str">
        <f t="shared" si="25"/>
        <v/>
      </c>
      <c r="F181" s="334" t="str">
        <f t="shared" si="26"/>
        <v/>
      </c>
      <c r="G181" s="334" t="str">
        <f t="shared" si="27"/>
        <v/>
      </c>
      <c r="K181" s="336"/>
      <c r="L181" s="337"/>
    </row>
    <row r="182" spans="1:12" ht="13.8">
      <c r="A182" s="334" t="str">
        <f t="shared" si="21"/>
        <v/>
      </c>
      <c r="B182" s="334" t="str">
        <f t="shared" si="22"/>
        <v/>
      </c>
      <c r="C182" s="334" t="str">
        <f t="shared" si="23"/>
        <v/>
      </c>
      <c r="D182" s="334" t="str">
        <f t="shared" si="24"/>
        <v/>
      </c>
      <c r="E182" s="334" t="str">
        <f t="shared" si="25"/>
        <v/>
      </c>
      <c r="F182" s="334" t="str">
        <f t="shared" si="26"/>
        <v/>
      </c>
      <c r="G182" s="334" t="str">
        <f t="shared" si="27"/>
        <v/>
      </c>
      <c r="K182" s="336"/>
      <c r="L182" s="337"/>
    </row>
    <row r="183" spans="1:12" ht="13.8">
      <c r="A183" s="334" t="str">
        <f t="shared" si="21"/>
        <v/>
      </c>
      <c r="B183" s="334" t="str">
        <f t="shared" si="22"/>
        <v/>
      </c>
      <c r="C183" s="334" t="str">
        <f t="shared" si="23"/>
        <v/>
      </c>
      <c r="D183" s="334" t="str">
        <f t="shared" si="24"/>
        <v/>
      </c>
      <c r="E183" s="334" t="str">
        <f t="shared" si="25"/>
        <v/>
      </c>
      <c r="F183" s="334" t="str">
        <f t="shared" si="26"/>
        <v/>
      </c>
      <c r="G183" s="334" t="str">
        <f t="shared" si="27"/>
        <v/>
      </c>
      <c r="K183" s="336"/>
      <c r="L183" s="337"/>
    </row>
    <row r="184" spans="1:12" ht="13.8">
      <c r="A184" s="334" t="str">
        <f t="shared" si="21"/>
        <v/>
      </c>
      <c r="B184" s="334" t="str">
        <f t="shared" si="22"/>
        <v/>
      </c>
      <c r="C184" s="334" t="str">
        <f t="shared" si="23"/>
        <v/>
      </c>
      <c r="D184" s="334" t="str">
        <f t="shared" si="24"/>
        <v/>
      </c>
      <c r="E184" s="334" t="str">
        <f t="shared" si="25"/>
        <v/>
      </c>
      <c r="F184" s="334" t="str">
        <f t="shared" si="26"/>
        <v/>
      </c>
      <c r="G184" s="334" t="str">
        <f t="shared" si="27"/>
        <v/>
      </c>
      <c r="K184" s="336"/>
      <c r="L184" s="337"/>
    </row>
    <row r="185" spans="1:12" ht="13.8">
      <c r="A185" s="334" t="str">
        <f t="shared" si="21"/>
        <v/>
      </c>
      <c r="B185" s="334" t="str">
        <f t="shared" si="22"/>
        <v/>
      </c>
      <c r="C185" s="334" t="str">
        <f t="shared" si="23"/>
        <v/>
      </c>
      <c r="D185" s="334" t="str">
        <f t="shared" si="24"/>
        <v/>
      </c>
      <c r="E185" s="334" t="str">
        <f t="shared" si="25"/>
        <v/>
      </c>
      <c r="F185" s="334" t="str">
        <f t="shared" si="26"/>
        <v/>
      </c>
      <c r="G185" s="334" t="str">
        <f t="shared" si="27"/>
        <v/>
      </c>
      <c r="K185" s="336"/>
      <c r="L185" s="337"/>
    </row>
    <row r="186" spans="1:12" ht="13.8">
      <c r="A186" s="334" t="str">
        <f t="shared" si="21"/>
        <v/>
      </c>
      <c r="B186" s="334" t="str">
        <f t="shared" si="22"/>
        <v/>
      </c>
      <c r="C186" s="334" t="str">
        <f t="shared" si="23"/>
        <v/>
      </c>
      <c r="D186" s="334" t="str">
        <f t="shared" si="24"/>
        <v/>
      </c>
      <c r="E186" s="334" t="str">
        <f t="shared" si="25"/>
        <v/>
      </c>
      <c r="F186" s="334" t="str">
        <f t="shared" si="26"/>
        <v/>
      </c>
      <c r="G186" s="334" t="str">
        <f t="shared" si="27"/>
        <v/>
      </c>
      <c r="K186" s="336"/>
      <c r="L186" s="337"/>
    </row>
    <row r="187" spans="1:12" ht="13.8">
      <c r="A187" s="334" t="str">
        <f t="shared" si="21"/>
        <v/>
      </c>
      <c r="B187" s="334" t="str">
        <f t="shared" si="22"/>
        <v/>
      </c>
      <c r="C187" s="334" t="str">
        <f t="shared" si="23"/>
        <v/>
      </c>
      <c r="D187" s="334" t="str">
        <f t="shared" si="24"/>
        <v/>
      </c>
      <c r="E187" s="334" t="str">
        <f t="shared" si="25"/>
        <v/>
      </c>
      <c r="F187" s="334" t="str">
        <f t="shared" si="26"/>
        <v/>
      </c>
      <c r="G187" s="334" t="str">
        <f t="shared" si="27"/>
        <v/>
      </c>
      <c r="K187" s="336"/>
      <c r="L187" s="337"/>
    </row>
    <row r="188" spans="1:12" ht="13.8">
      <c r="A188" s="334" t="str">
        <f t="shared" si="21"/>
        <v/>
      </c>
      <c r="B188" s="334" t="str">
        <f t="shared" si="22"/>
        <v/>
      </c>
      <c r="C188" s="334" t="str">
        <f t="shared" si="23"/>
        <v/>
      </c>
      <c r="D188" s="334" t="str">
        <f t="shared" si="24"/>
        <v/>
      </c>
      <c r="E188" s="334" t="str">
        <f t="shared" si="25"/>
        <v/>
      </c>
      <c r="F188" s="334" t="str">
        <f t="shared" si="26"/>
        <v/>
      </c>
      <c r="G188" s="334" t="str">
        <f t="shared" si="27"/>
        <v/>
      </c>
      <c r="K188" s="336"/>
      <c r="L188" s="337"/>
    </row>
    <row r="189" spans="1:12" ht="13.8">
      <c r="A189" s="334" t="str">
        <f t="shared" si="21"/>
        <v/>
      </c>
      <c r="B189" s="334" t="str">
        <f t="shared" si="22"/>
        <v/>
      </c>
      <c r="C189" s="334" t="str">
        <f t="shared" si="23"/>
        <v/>
      </c>
      <c r="D189" s="334" t="str">
        <f t="shared" si="24"/>
        <v/>
      </c>
      <c r="E189" s="334" t="str">
        <f t="shared" si="25"/>
        <v/>
      </c>
      <c r="F189" s="334" t="str">
        <f t="shared" si="26"/>
        <v/>
      </c>
      <c r="G189" s="334" t="str">
        <f t="shared" si="27"/>
        <v/>
      </c>
      <c r="K189" s="336"/>
      <c r="L189" s="337"/>
    </row>
    <row r="190" spans="1:12" ht="13.8">
      <c r="A190" s="334" t="str">
        <f t="shared" si="21"/>
        <v/>
      </c>
      <c r="B190" s="334" t="str">
        <f t="shared" si="22"/>
        <v/>
      </c>
      <c r="C190" s="334" t="str">
        <f t="shared" si="23"/>
        <v/>
      </c>
      <c r="D190" s="334" t="str">
        <f t="shared" si="24"/>
        <v/>
      </c>
      <c r="E190" s="334" t="str">
        <f t="shared" si="25"/>
        <v/>
      </c>
      <c r="F190" s="334" t="str">
        <f t="shared" si="26"/>
        <v/>
      </c>
      <c r="G190" s="334" t="str">
        <f t="shared" si="27"/>
        <v/>
      </c>
      <c r="K190" s="336"/>
      <c r="L190" s="337"/>
    </row>
    <row r="191" spans="1:12" ht="13.8">
      <c r="A191" s="334" t="str">
        <f t="shared" si="21"/>
        <v/>
      </c>
      <c r="B191" s="334" t="str">
        <f t="shared" si="22"/>
        <v/>
      </c>
      <c r="C191" s="334" t="str">
        <f t="shared" si="23"/>
        <v/>
      </c>
      <c r="D191" s="334" t="str">
        <f t="shared" si="24"/>
        <v/>
      </c>
      <c r="E191" s="334" t="str">
        <f t="shared" si="25"/>
        <v/>
      </c>
      <c r="F191" s="334" t="str">
        <f t="shared" si="26"/>
        <v/>
      </c>
      <c r="G191" s="334" t="str">
        <f t="shared" si="27"/>
        <v/>
      </c>
      <c r="K191" s="336"/>
      <c r="L191" s="337"/>
    </row>
    <row r="192" spans="1:12" ht="13.8">
      <c r="A192" s="334" t="str">
        <f t="shared" ref="A192:A255" si="28">IF(LEN(C192)+LEN(D192)+LEN(E192)+LEN(F192)&gt;0, I192, "")</f>
        <v/>
      </c>
      <c r="B192" s="334" t="str">
        <f t="shared" ref="B192:B255" si="29">IF(LEN(C192)+LEN(D192)+LEN(E192)+LEN(F192)&gt;0, H192, "")</f>
        <v/>
      </c>
      <c r="C192" s="334" t="str">
        <f t="shared" ref="C192:C255" si="30">IF(K192="textfield", G192, "")</f>
        <v/>
      </c>
      <c r="D192" s="334" t="str">
        <f t="shared" ref="D192:D255" si="31">IF(K192="radiobutton",G192,IF(K192="checkbox",G192,IF(K192="dropdown",G192,"")))</f>
        <v/>
      </c>
      <c r="E192" s="334" t="str">
        <f t="shared" ref="E192:E255" si="32">IF(K192="richtextfield", G192, "")</f>
        <v/>
      </c>
      <c r="F192" s="334" t="str">
        <f t="shared" ref="F192:F255" si="33">IF(K192="table", G192, IF(K192="fixed_table",G192,""))</f>
        <v/>
      </c>
      <c r="G192" s="334" t="str">
        <f t="shared" ref="G192:G255" si="34">IFERROR(IF(LEN(M192)=0, "", IF(L192="pct",TEXT(M192,"0.00%"),IF(L192="currency",TEXT(M192,"###0.00"),IF(L192="date", TEXT(M192,"YYYY-MM-DD"), IF(L192="float2", TEXT(M192,"0.00"), M192))))),"")</f>
        <v/>
      </c>
      <c r="K192" s="336"/>
      <c r="L192" s="337"/>
    </row>
    <row r="193" spans="1:12" ht="13.8">
      <c r="A193" s="334" t="str">
        <f t="shared" si="28"/>
        <v/>
      </c>
      <c r="B193" s="334" t="str">
        <f t="shared" si="29"/>
        <v/>
      </c>
      <c r="C193" s="334" t="str">
        <f t="shared" si="30"/>
        <v/>
      </c>
      <c r="D193" s="334" t="str">
        <f t="shared" si="31"/>
        <v/>
      </c>
      <c r="E193" s="334" t="str">
        <f t="shared" si="32"/>
        <v/>
      </c>
      <c r="F193" s="334" t="str">
        <f t="shared" si="33"/>
        <v/>
      </c>
      <c r="G193" s="334" t="str">
        <f t="shared" si="34"/>
        <v/>
      </c>
      <c r="K193" s="336"/>
      <c r="L193" s="337"/>
    </row>
    <row r="194" spans="1:12" ht="13.8">
      <c r="A194" s="334" t="str">
        <f t="shared" si="28"/>
        <v/>
      </c>
      <c r="B194" s="334" t="str">
        <f t="shared" si="29"/>
        <v/>
      </c>
      <c r="C194" s="334" t="str">
        <f t="shared" si="30"/>
        <v/>
      </c>
      <c r="D194" s="334" t="str">
        <f t="shared" si="31"/>
        <v/>
      </c>
      <c r="E194" s="334" t="str">
        <f t="shared" si="32"/>
        <v/>
      </c>
      <c r="F194" s="334" t="str">
        <f t="shared" si="33"/>
        <v/>
      </c>
      <c r="G194" s="334" t="str">
        <f t="shared" si="34"/>
        <v/>
      </c>
      <c r="K194" s="336"/>
      <c r="L194" s="337"/>
    </row>
    <row r="195" spans="1:12" ht="13.8">
      <c r="A195" s="334" t="str">
        <f t="shared" si="28"/>
        <v/>
      </c>
      <c r="B195" s="334" t="str">
        <f t="shared" si="29"/>
        <v/>
      </c>
      <c r="C195" s="334" t="str">
        <f t="shared" si="30"/>
        <v/>
      </c>
      <c r="D195" s="334" t="str">
        <f t="shared" si="31"/>
        <v/>
      </c>
      <c r="E195" s="334" t="str">
        <f t="shared" si="32"/>
        <v/>
      </c>
      <c r="F195" s="334" t="str">
        <f t="shared" si="33"/>
        <v/>
      </c>
      <c r="G195" s="334" t="str">
        <f t="shared" si="34"/>
        <v/>
      </c>
      <c r="K195" s="336"/>
      <c r="L195" s="337"/>
    </row>
    <row r="196" spans="1:12" ht="13.8">
      <c r="A196" s="334" t="str">
        <f t="shared" si="28"/>
        <v/>
      </c>
      <c r="B196" s="334" t="str">
        <f t="shared" si="29"/>
        <v/>
      </c>
      <c r="C196" s="334" t="str">
        <f t="shared" si="30"/>
        <v/>
      </c>
      <c r="D196" s="334" t="str">
        <f t="shared" si="31"/>
        <v/>
      </c>
      <c r="E196" s="334" t="str">
        <f t="shared" si="32"/>
        <v/>
      </c>
      <c r="F196" s="334" t="str">
        <f t="shared" si="33"/>
        <v/>
      </c>
      <c r="G196" s="334" t="str">
        <f t="shared" si="34"/>
        <v/>
      </c>
      <c r="K196" s="336"/>
      <c r="L196" s="337"/>
    </row>
    <row r="197" spans="1:12" ht="13.8">
      <c r="A197" s="334" t="str">
        <f t="shared" si="28"/>
        <v/>
      </c>
      <c r="B197" s="334" t="str">
        <f t="shared" si="29"/>
        <v/>
      </c>
      <c r="C197" s="334" t="str">
        <f t="shared" si="30"/>
        <v/>
      </c>
      <c r="D197" s="334" t="str">
        <f t="shared" si="31"/>
        <v/>
      </c>
      <c r="E197" s="334" t="str">
        <f t="shared" si="32"/>
        <v/>
      </c>
      <c r="F197" s="334" t="str">
        <f t="shared" si="33"/>
        <v/>
      </c>
      <c r="G197" s="334" t="str">
        <f t="shared" si="34"/>
        <v/>
      </c>
      <c r="K197" s="336"/>
      <c r="L197" s="337"/>
    </row>
    <row r="198" spans="1:12" ht="13.8">
      <c r="A198" s="334" t="str">
        <f t="shared" si="28"/>
        <v/>
      </c>
      <c r="B198" s="334" t="str">
        <f t="shared" si="29"/>
        <v/>
      </c>
      <c r="C198" s="334" t="str">
        <f t="shared" si="30"/>
        <v/>
      </c>
      <c r="D198" s="334" t="str">
        <f t="shared" si="31"/>
        <v/>
      </c>
      <c r="E198" s="334" t="str">
        <f t="shared" si="32"/>
        <v/>
      </c>
      <c r="F198" s="334" t="str">
        <f t="shared" si="33"/>
        <v/>
      </c>
      <c r="G198" s="334" t="str">
        <f t="shared" si="34"/>
        <v/>
      </c>
      <c r="K198" s="336"/>
      <c r="L198" s="337"/>
    </row>
    <row r="199" spans="1:12" ht="13.8">
      <c r="A199" s="334" t="str">
        <f t="shared" si="28"/>
        <v/>
      </c>
      <c r="B199" s="334" t="str">
        <f t="shared" si="29"/>
        <v/>
      </c>
      <c r="C199" s="334" t="str">
        <f t="shared" si="30"/>
        <v/>
      </c>
      <c r="D199" s="334" t="str">
        <f t="shared" si="31"/>
        <v/>
      </c>
      <c r="E199" s="334" t="str">
        <f t="shared" si="32"/>
        <v/>
      </c>
      <c r="F199" s="334" t="str">
        <f t="shared" si="33"/>
        <v/>
      </c>
      <c r="G199" s="334" t="str">
        <f t="shared" si="34"/>
        <v/>
      </c>
      <c r="K199" s="336"/>
      <c r="L199" s="337"/>
    </row>
    <row r="200" spans="1:12" ht="13.8">
      <c r="A200" s="334" t="str">
        <f t="shared" si="28"/>
        <v/>
      </c>
      <c r="B200" s="334" t="str">
        <f t="shared" si="29"/>
        <v/>
      </c>
      <c r="C200" s="334" t="str">
        <f t="shared" si="30"/>
        <v/>
      </c>
      <c r="D200" s="334" t="str">
        <f t="shared" si="31"/>
        <v/>
      </c>
      <c r="E200" s="334" t="str">
        <f t="shared" si="32"/>
        <v/>
      </c>
      <c r="F200" s="334" t="str">
        <f t="shared" si="33"/>
        <v/>
      </c>
      <c r="G200" s="334" t="str">
        <f t="shared" si="34"/>
        <v/>
      </c>
      <c r="K200" s="336"/>
      <c r="L200" s="337"/>
    </row>
    <row r="201" spans="1:12" ht="13.8">
      <c r="A201" s="334" t="str">
        <f t="shared" si="28"/>
        <v/>
      </c>
      <c r="B201" s="334" t="str">
        <f t="shared" si="29"/>
        <v/>
      </c>
      <c r="C201" s="334" t="str">
        <f t="shared" si="30"/>
        <v/>
      </c>
      <c r="D201" s="334" t="str">
        <f t="shared" si="31"/>
        <v/>
      </c>
      <c r="E201" s="334" t="str">
        <f t="shared" si="32"/>
        <v/>
      </c>
      <c r="F201" s="334" t="str">
        <f t="shared" si="33"/>
        <v/>
      </c>
      <c r="G201" s="334" t="str">
        <f t="shared" si="34"/>
        <v/>
      </c>
      <c r="K201" s="336"/>
      <c r="L201" s="337"/>
    </row>
    <row r="202" spans="1:12" ht="13.8">
      <c r="A202" s="334" t="str">
        <f t="shared" si="28"/>
        <v/>
      </c>
      <c r="B202" s="334" t="str">
        <f t="shared" si="29"/>
        <v/>
      </c>
      <c r="C202" s="334" t="str">
        <f t="shared" si="30"/>
        <v/>
      </c>
      <c r="D202" s="334" t="str">
        <f t="shared" si="31"/>
        <v/>
      </c>
      <c r="E202" s="334" t="str">
        <f t="shared" si="32"/>
        <v/>
      </c>
      <c r="F202" s="334" t="str">
        <f t="shared" si="33"/>
        <v/>
      </c>
      <c r="G202" s="334" t="str">
        <f t="shared" si="34"/>
        <v/>
      </c>
      <c r="K202" s="336"/>
      <c r="L202" s="337"/>
    </row>
    <row r="203" spans="1:12" ht="13.8">
      <c r="A203" s="334" t="str">
        <f t="shared" si="28"/>
        <v/>
      </c>
      <c r="B203" s="334" t="str">
        <f t="shared" si="29"/>
        <v/>
      </c>
      <c r="C203" s="334" t="str">
        <f t="shared" si="30"/>
        <v/>
      </c>
      <c r="D203" s="334" t="str">
        <f t="shared" si="31"/>
        <v/>
      </c>
      <c r="E203" s="334" t="str">
        <f t="shared" si="32"/>
        <v/>
      </c>
      <c r="F203" s="334" t="str">
        <f t="shared" si="33"/>
        <v/>
      </c>
      <c r="G203" s="334" t="str">
        <f t="shared" si="34"/>
        <v/>
      </c>
      <c r="K203" s="336"/>
      <c r="L203" s="337"/>
    </row>
    <row r="204" spans="1:12" ht="13.8">
      <c r="A204" s="334" t="str">
        <f t="shared" si="28"/>
        <v/>
      </c>
      <c r="B204" s="334" t="str">
        <f t="shared" si="29"/>
        <v/>
      </c>
      <c r="C204" s="334" t="str">
        <f t="shared" si="30"/>
        <v/>
      </c>
      <c r="D204" s="334" t="str">
        <f t="shared" si="31"/>
        <v/>
      </c>
      <c r="E204" s="334" t="str">
        <f t="shared" si="32"/>
        <v/>
      </c>
      <c r="F204" s="334" t="str">
        <f t="shared" si="33"/>
        <v/>
      </c>
      <c r="G204" s="334" t="str">
        <f t="shared" si="34"/>
        <v/>
      </c>
      <c r="K204" s="336"/>
      <c r="L204" s="337"/>
    </row>
    <row r="205" spans="1:12" ht="13.8">
      <c r="A205" s="334" t="str">
        <f t="shared" si="28"/>
        <v/>
      </c>
      <c r="B205" s="334" t="str">
        <f t="shared" si="29"/>
        <v/>
      </c>
      <c r="C205" s="334" t="str">
        <f t="shared" si="30"/>
        <v/>
      </c>
      <c r="D205" s="334" t="str">
        <f t="shared" si="31"/>
        <v/>
      </c>
      <c r="E205" s="334" t="str">
        <f t="shared" si="32"/>
        <v/>
      </c>
      <c r="F205" s="334" t="str">
        <f t="shared" si="33"/>
        <v/>
      </c>
      <c r="G205" s="334" t="str">
        <f t="shared" si="34"/>
        <v/>
      </c>
      <c r="K205" s="336"/>
      <c r="L205" s="337"/>
    </row>
    <row r="206" spans="1:12" ht="13.8">
      <c r="A206" s="334" t="str">
        <f t="shared" si="28"/>
        <v/>
      </c>
      <c r="B206" s="334" t="str">
        <f t="shared" si="29"/>
        <v/>
      </c>
      <c r="C206" s="334" t="str">
        <f t="shared" si="30"/>
        <v/>
      </c>
      <c r="D206" s="334" t="str">
        <f t="shared" si="31"/>
        <v/>
      </c>
      <c r="E206" s="334" t="str">
        <f t="shared" si="32"/>
        <v/>
      </c>
      <c r="F206" s="334" t="str">
        <f t="shared" si="33"/>
        <v/>
      </c>
      <c r="G206" s="334" t="str">
        <f t="shared" si="34"/>
        <v/>
      </c>
      <c r="K206" s="336"/>
      <c r="L206" s="337"/>
    </row>
    <row r="207" spans="1:12" ht="13.8">
      <c r="A207" s="334" t="str">
        <f t="shared" si="28"/>
        <v/>
      </c>
      <c r="B207" s="334" t="str">
        <f t="shared" si="29"/>
        <v/>
      </c>
      <c r="C207" s="334" t="str">
        <f t="shared" si="30"/>
        <v/>
      </c>
      <c r="D207" s="334" t="str">
        <f t="shared" si="31"/>
        <v/>
      </c>
      <c r="E207" s="334" t="str">
        <f t="shared" si="32"/>
        <v/>
      </c>
      <c r="F207" s="334" t="str">
        <f t="shared" si="33"/>
        <v/>
      </c>
      <c r="G207" s="334" t="str">
        <f t="shared" si="34"/>
        <v/>
      </c>
      <c r="K207" s="336"/>
      <c r="L207" s="337"/>
    </row>
    <row r="208" spans="1:12" ht="13.8">
      <c r="A208" s="334" t="str">
        <f t="shared" si="28"/>
        <v/>
      </c>
      <c r="B208" s="334" t="str">
        <f t="shared" si="29"/>
        <v/>
      </c>
      <c r="C208" s="334" t="str">
        <f t="shared" si="30"/>
        <v/>
      </c>
      <c r="D208" s="334" t="str">
        <f t="shared" si="31"/>
        <v/>
      </c>
      <c r="E208" s="334" t="str">
        <f t="shared" si="32"/>
        <v/>
      </c>
      <c r="F208" s="334" t="str">
        <f t="shared" si="33"/>
        <v/>
      </c>
      <c r="G208" s="334" t="str">
        <f t="shared" si="34"/>
        <v/>
      </c>
      <c r="K208" s="336"/>
      <c r="L208" s="337"/>
    </row>
    <row r="209" spans="1:12" ht="13.8">
      <c r="A209" s="334" t="str">
        <f t="shared" si="28"/>
        <v/>
      </c>
      <c r="B209" s="334" t="str">
        <f t="shared" si="29"/>
        <v/>
      </c>
      <c r="C209" s="334" t="str">
        <f t="shared" si="30"/>
        <v/>
      </c>
      <c r="D209" s="334" t="str">
        <f t="shared" si="31"/>
        <v/>
      </c>
      <c r="E209" s="334" t="str">
        <f t="shared" si="32"/>
        <v/>
      </c>
      <c r="F209" s="334" t="str">
        <f t="shared" si="33"/>
        <v/>
      </c>
      <c r="G209" s="334" t="str">
        <f t="shared" si="34"/>
        <v/>
      </c>
      <c r="K209" s="336"/>
      <c r="L209" s="337"/>
    </row>
    <row r="210" spans="1:12" ht="13.8">
      <c r="A210" s="334" t="str">
        <f t="shared" si="28"/>
        <v/>
      </c>
      <c r="B210" s="334" t="str">
        <f t="shared" si="29"/>
        <v/>
      </c>
      <c r="C210" s="334" t="str">
        <f t="shared" si="30"/>
        <v/>
      </c>
      <c r="D210" s="334" t="str">
        <f t="shared" si="31"/>
        <v/>
      </c>
      <c r="E210" s="334" t="str">
        <f t="shared" si="32"/>
        <v/>
      </c>
      <c r="F210" s="334" t="str">
        <f t="shared" si="33"/>
        <v/>
      </c>
      <c r="G210" s="334" t="str">
        <f t="shared" si="34"/>
        <v/>
      </c>
      <c r="K210" s="336"/>
      <c r="L210" s="337"/>
    </row>
    <row r="211" spans="1:12" ht="13.8">
      <c r="A211" s="334" t="str">
        <f t="shared" si="28"/>
        <v/>
      </c>
      <c r="B211" s="334" t="str">
        <f t="shared" si="29"/>
        <v/>
      </c>
      <c r="C211" s="334" t="str">
        <f t="shared" si="30"/>
        <v/>
      </c>
      <c r="D211" s="334" t="str">
        <f t="shared" si="31"/>
        <v/>
      </c>
      <c r="E211" s="334" t="str">
        <f t="shared" si="32"/>
        <v/>
      </c>
      <c r="F211" s="334" t="str">
        <f t="shared" si="33"/>
        <v/>
      </c>
      <c r="G211" s="334" t="str">
        <f t="shared" si="34"/>
        <v/>
      </c>
      <c r="K211" s="336"/>
      <c r="L211" s="337"/>
    </row>
    <row r="212" spans="1:12" ht="13.8">
      <c r="A212" s="334" t="str">
        <f t="shared" si="28"/>
        <v/>
      </c>
      <c r="B212" s="334" t="str">
        <f t="shared" si="29"/>
        <v/>
      </c>
      <c r="C212" s="334" t="str">
        <f t="shared" si="30"/>
        <v/>
      </c>
      <c r="D212" s="334" t="str">
        <f t="shared" si="31"/>
        <v/>
      </c>
      <c r="E212" s="334" t="str">
        <f t="shared" si="32"/>
        <v/>
      </c>
      <c r="F212" s="334" t="str">
        <f t="shared" si="33"/>
        <v/>
      </c>
      <c r="G212" s="334" t="str">
        <f t="shared" si="34"/>
        <v/>
      </c>
      <c r="K212" s="336"/>
      <c r="L212" s="337"/>
    </row>
    <row r="213" spans="1:12" ht="13.8">
      <c r="A213" s="334" t="str">
        <f t="shared" si="28"/>
        <v/>
      </c>
      <c r="B213" s="334" t="str">
        <f t="shared" si="29"/>
        <v/>
      </c>
      <c r="C213" s="334" t="str">
        <f t="shared" si="30"/>
        <v/>
      </c>
      <c r="D213" s="334" t="str">
        <f t="shared" si="31"/>
        <v/>
      </c>
      <c r="E213" s="334" t="str">
        <f t="shared" si="32"/>
        <v/>
      </c>
      <c r="F213" s="334" t="str">
        <f t="shared" si="33"/>
        <v/>
      </c>
      <c r="G213" s="334" t="str">
        <f t="shared" si="34"/>
        <v/>
      </c>
      <c r="K213" s="336"/>
      <c r="L213" s="337"/>
    </row>
    <row r="214" spans="1:12" ht="13.8">
      <c r="A214" s="334" t="str">
        <f t="shared" si="28"/>
        <v/>
      </c>
      <c r="B214" s="334" t="str">
        <f t="shared" si="29"/>
        <v/>
      </c>
      <c r="C214" s="334" t="str">
        <f t="shared" si="30"/>
        <v/>
      </c>
      <c r="D214" s="334" t="str">
        <f t="shared" si="31"/>
        <v/>
      </c>
      <c r="E214" s="334" t="str">
        <f t="shared" si="32"/>
        <v/>
      </c>
      <c r="F214" s="334" t="str">
        <f t="shared" si="33"/>
        <v/>
      </c>
      <c r="G214" s="334" t="str">
        <f t="shared" si="34"/>
        <v/>
      </c>
      <c r="K214" s="336"/>
      <c r="L214" s="337"/>
    </row>
    <row r="215" spans="1:12" ht="13.8">
      <c r="A215" s="334" t="str">
        <f t="shared" si="28"/>
        <v/>
      </c>
      <c r="B215" s="334" t="str">
        <f t="shared" si="29"/>
        <v/>
      </c>
      <c r="C215" s="334" t="str">
        <f t="shared" si="30"/>
        <v/>
      </c>
      <c r="D215" s="334" t="str">
        <f t="shared" si="31"/>
        <v/>
      </c>
      <c r="E215" s="334" t="str">
        <f t="shared" si="32"/>
        <v/>
      </c>
      <c r="F215" s="334" t="str">
        <f t="shared" si="33"/>
        <v/>
      </c>
      <c r="G215" s="334" t="str">
        <f t="shared" si="34"/>
        <v/>
      </c>
      <c r="K215" s="336"/>
      <c r="L215" s="337"/>
    </row>
    <row r="216" spans="1:12" ht="13.8">
      <c r="A216" s="334" t="str">
        <f t="shared" si="28"/>
        <v/>
      </c>
      <c r="B216" s="334" t="str">
        <f t="shared" si="29"/>
        <v/>
      </c>
      <c r="C216" s="334" t="str">
        <f t="shared" si="30"/>
        <v/>
      </c>
      <c r="D216" s="334" t="str">
        <f t="shared" si="31"/>
        <v/>
      </c>
      <c r="E216" s="334" t="str">
        <f t="shared" si="32"/>
        <v/>
      </c>
      <c r="F216" s="334" t="str">
        <f t="shared" si="33"/>
        <v/>
      </c>
      <c r="G216" s="334" t="str">
        <f t="shared" si="34"/>
        <v/>
      </c>
      <c r="K216" s="336"/>
      <c r="L216" s="337"/>
    </row>
    <row r="217" spans="1:12" ht="13.8">
      <c r="A217" s="334" t="str">
        <f t="shared" si="28"/>
        <v/>
      </c>
      <c r="B217" s="334" t="str">
        <f t="shared" si="29"/>
        <v/>
      </c>
      <c r="C217" s="334" t="str">
        <f t="shared" si="30"/>
        <v/>
      </c>
      <c r="D217" s="334" t="str">
        <f t="shared" si="31"/>
        <v/>
      </c>
      <c r="E217" s="334" t="str">
        <f t="shared" si="32"/>
        <v/>
      </c>
      <c r="F217" s="334" t="str">
        <f t="shared" si="33"/>
        <v/>
      </c>
      <c r="G217" s="334" t="str">
        <f t="shared" si="34"/>
        <v/>
      </c>
      <c r="K217" s="336"/>
      <c r="L217" s="337"/>
    </row>
    <row r="218" spans="1:12" ht="13.8">
      <c r="A218" s="334" t="str">
        <f t="shared" si="28"/>
        <v/>
      </c>
      <c r="B218" s="334" t="str">
        <f t="shared" si="29"/>
        <v/>
      </c>
      <c r="C218" s="334" t="str">
        <f t="shared" si="30"/>
        <v/>
      </c>
      <c r="D218" s="334" t="str">
        <f t="shared" si="31"/>
        <v/>
      </c>
      <c r="E218" s="334" t="str">
        <f t="shared" si="32"/>
        <v/>
      </c>
      <c r="F218" s="334" t="str">
        <f t="shared" si="33"/>
        <v/>
      </c>
      <c r="G218" s="334" t="str">
        <f t="shared" si="34"/>
        <v/>
      </c>
      <c r="K218" s="336"/>
      <c r="L218" s="337"/>
    </row>
    <row r="219" spans="1:12" ht="13.8">
      <c r="A219" s="334" t="str">
        <f t="shared" si="28"/>
        <v/>
      </c>
      <c r="B219" s="334" t="str">
        <f t="shared" si="29"/>
        <v/>
      </c>
      <c r="C219" s="334" t="str">
        <f t="shared" si="30"/>
        <v/>
      </c>
      <c r="D219" s="334" t="str">
        <f t="shared" si="31"/>
        <v/>
      </c>
      <c r="E219" s="334" t="str">
        <f t="shared" si="32"/>
        <v/>
      </c>
      <c r="F219" s="334" t="str">
        <f t="shared" si="33"/>
        <v/>
      </c>
      <c r="G219" s="334" t="str">
        <f t="shared" si="34"/>
        <v/>
      </c>
      <c r="K219" s="336"/>
      <c r="L219" s="337"/>
    </row>
    <row r="220" spans="1:12" ht="13.8">
      <c r="A220" s="334" t="str">
        <f t="shared" si="28"/>
        <v/>
      </c>
      <c r="B220" s="334" t="str">
        <f t="shared" si="29"/>
        <v/>
      </c>
      <c r="C220" s="334" t="str">
        <f t="shared" si="30"/>
        <v/>
      </c>
      <c r="D220" s="334" t="str">
        <f t="shared" si="31"/>
        <v/>
      </c>
      <c r="E220" s="334" t="str">
        <f t="shared" si="32"/>
        <v/>
      </c>
      <c r="F220" s="334" t="str">
        <f t="shared" si="33"/>
        <v/>
      </c>
      <c r="G220" s="334" t="str">
        <f t="shared" si="34"/>
        <v/>
      </c>
      <c r="K220" s="336"/>
      <c r="L220" s="337"/>
    </row>
    <row r="221" spans="1:12" ht="13.8">
      <c r="A221" s="334" t="str">
        <f t="shared" si="28"/>
        <v/>
      </c>
      <c r="B221" s="334" t="str">
        <f t="shared" si="29"/>
        <v/>
      </c>
      <c r="C221" s="334" t="str">
        <f t="shared" si="30"/>
        <v/>
      </c>
      <c r="D221" s="334" t="str">
        <f t="shared" si="31"/>
        <v/>
      </c>
      <c r="E221" s="334" t="str">
        <f t="shared" si="32"/>
        <v/>
      </c>
      <c r="F221" s="334" t="str">
        <f t="shared" si="33"/>
        <v/>
      </c>
      <c r="G221" s="334" t="str">
        <f t="shared" si="34"/>
        <v/>
      </c>
      <c r="K221" s="336"/>
      <c r="L221" s="337"/>
    </row>
    <row r="222" spans="1:12" ht="13.8">
      <c r="A222" s="334" t="str">
        <f t="shared" si="28"/>
        <v/>
      </c>
      <c r="B222" s="334" t="str">
        <f t="shared" si="29"/>
        <v/>
      </c>
      <c r="C222" s="334" t="str">
        <f t="shared" si="30"/>
        <v/>
      </c>
      <c r="D222" s="334" t="str">
        <f t="shared" si="31"/>
        <v/>
      </c>
      <c r="E222" s="334" t="str">
        <f t="shared" si="32"/>
        <v/>
      </c>
      <c r="F222" s="334" t="str">
        <f t="shared" si="33"/>
        <v/>
      </c>
      <c r="G222" s="334" t="str">
        <f t="shared" si="34"/>
        <v/>
      </c>
      <c r="K222" s="336"/>
      <c r="L222" s="337"/>
    </row>
    <row r="223" spans="1:12" ht="13.8">
      <c r="A223" s="334" t="str">
        <f t="shared" si="28"/>
        <v/>
      </c>
      <c r="B223" s="334" t="str">
        <f t="shared" si="29"/>
        <v/>
      </c>
      <c r="C223" s="334" t="str">
        <f t="shared" si="30"/>
        <v/>
      </c>
      <c r="D223" s="334" t="str">
        <f t="shared" si="31"/>
        <v/>
      </c>
      <c r="E223" s="334" t="str">
        <f t="shared" si="32"/>
        <v/>
      </c>
      <c r="F223" s="334" t="str">
        <f t="shared" si="33"/>
        <v/>
      </c>
      <c r="G223" s="334" t="str">
        <f t="shared" si="34"/>
        <v/>
      </c>
      <c r="K223" s="336"/>
      <c r="L223" s="337"/>
    </row>
    <row r="224" spans="1:12" ht="13.8">
      <c r="A224" s="334" t="str">
        <f t="shared" si="28"/>
        <v/>
      </c>
      <c r="B224" s="334" t="str">
        <f t="shared" si="29"/>
        <v/>
      </c>
      <c r="C224" s="334" t="str">
        <f t="shared" si="30"/>
        <v/>
      </c>
      <c r="D224" s="334" t="str">
        <f t="shared" si="31"/>
        <v/>
      </c>
      <c r="E224" s="334" t="str">
        <f t="shared" si="32"/>
        <v/>
      </c>
      <c r="F224" s="334" t="str">
        <f t="shared" si="33"/>
        <v/>
      </c>
      <c r="G224" s="334" t="str">
        <f t="shared" si="34"/>
        <v/>
      </c>
      <c r="K224" s="336"/>
      <c r="L224" s="337"/>
    </row>
    <row r="225" spans="1:12" ht="13.8">
      <c r="A225" s="334" t="str">
        <f t="shared" si="28"/>
        <v/>
      </c>
      <c r="B225" s="334" t="str">
        <f t="shared" si="29"/>
        <v/>
      </c>
      <c r="C225" s="334" t="str">
        <f t="shared" si="30"/>
        <v/>
      </c>
      <c r="D225" s="334" t="str">
        <f t="shared" si="31"/>
        <v/>
      </c>
      <c r="E225" s="334" t="str">
        <f t="shared" si="32"/>
        <v/>
      </c>
      <c r="F225" s="334" t="str">
        <f t="shared" si="33"/>
        <v/>
      </c>
      <c r="G225" s="334" t="str">
        <f t="shared" si="34"/>
        <v/>
      </c>
      <c r="K225" s="336"/>
      <c r="L225" s="337"/>
    </row>
    <row r="226" spans="1:12" ht="13.8">
      <c r="A226" s="334" t="str">
        <f t="shared" si="28"/>
        <v/>
      </c>
      <c r="B226" s="334" t="str">
        <f t="shared" si="29"/>
        <v/>
      </c>
      <c r="C226" s="334" t="str">
        <f t="shared" si="30"/>
        <v/>
      </c>
      <c r="D226" s="334" t="str">
        <f t="shared" si="31"/>
        <v/>
      </c>
      <c r="E226" s="334" t="str">
        <f t="shared" si="32"/>
        <v/>
      </c>
      <c r="F226" s="334" t="str">
        <f t="shared" si="33"/>
        <v/>
      </c>
      <c r="G226" s="334" t="str">
        <f t="shared" si="34"/>
        <v/>
      </c>
      <c r="K226" s="336"/>
      <c r="L226" s="337"/>
    </row>
    <row r="227" spans="1:12" ht="13.8">
      <c r="A227" s="334" t="str">
        <f t="shared" si="28"/>
        <v/>
      </c>
      <c r="B227" s="334" t="str">
        <f t="shared" si="29"/>
        <v/>
      </c>
      <c r="C227" s="334" t="str">
        <f t="shared" si="30"/>
        <v/>
      </c>
      <c r="D227" s="334" t="str">
        <f t="shared" si="31"/>
        <v/>
      </c>
      <c r="E227" s="334" t="str">
        <f t="shared" si="32"/>
        <v/>
      </c>
      <c r="F227" s="334" t="str">
        <f t="shared" si="33"/>
        <v/>
      </c>
      <c r="G227" s="334" t="str">
        <f t="shared" si="34"/>
        <v/>
      </c>
      <c r="K227" s="336"/>
      <c r="L227" s="337"/>
    </row>
    <row r="228" spans="1:12" ht="13.8">
      <c r="A228" s="334" t="str">
        <f t="shared" si="28"/>
        <v/>
      </c>
      <c r="B228" s="334" t="str">
        <f t="shared" si="29"/>
        <v/>
      </c>
      <c r="C228" s="334" t="str">
        <f t="shared" si="30"/>
        <v/>
      </c>
      <c r="D228" s="334" t="str">
        <f t="shared" si="31"/>
        <v/>
      </c>
      <c r="E228" s="334" t="str">
        <f t="shared" si="32"/>
        <v/>
      </c>
      <c r="F228" s="334" t="str">
        <f t="shared" si="33"/>
        <v/>
      </c>
      <c r="G228" s="334" t="str">
        <f t="shared" si="34"/>
        <v/>
      </c>
      <c r="K228" s="336"/>
      <c r="L228" s="337"/>
    </row>
    <row r="229" spans="1:12" ht="13.8">
      <c r="A229" s="334" t="str">
        <f t="shared" si="28"/>
        <v/>
      </c>
      <c r="B229" s="334" t="str">
        <f t="shared" si="29"/>
        <v/>
      </c>
      <c r="C229" s="334" t="str">
        <f t="shared" si="30"/>
        <v/>
      </c>
      <c r="D229" s="334" t="str">
        <f t="shared" si="31"/>
        <v/>
      </c>
      <c r="E229" s="334" t="str">
        <f t="shared" si="32"/>
        <v/>
      </c>
      <c r="F229" s="334" t="str">
        <f t="shared" si="33"/>
        <v/>
      </c>
      <c r="G229" s="334" t="str">
        <f t="shared" si="34"/>
        <v/>
      </c>
      <c r="K229" s="336"/>
      <c r="L229" s="337"/>
    </row>
    <row r="230" spans="1:12" ht="13.8">
      <c r="A230" s="334" t="str">
        <f t="shared" si="28"/>
        <v/>
      </c>
      <c r="B230" s="334" t="str">
        <f t="shared" si="29"/>
        <v/>
      </c>
      <c r="C230" s="334" t="str">
        <f t="shared" si="30"/>
        <v/>
      </c>
      <c r="D230" s="334" t="str">
        <f t="shared" si="31"/>
        <v/>
      </c>
      <c r="E230" s="334" t="str">
        <f t="shared" si="32"/>
        <v/>
      </c>
      <c r="F230" s="334" t="str">
        <f t="shared" si="33"/>
        <v/>
      </c>
      <c r="G230" s="334" t="str">
        <f t="shared" si="34"/>
        <v/>
      </c>
      <c r="K230" s="336"/>
      <c r="L230" s="337"/>
    </row>
    <row r="231" spans="1:12" ht="13.8">
      <c r="A231" s="334" t="str">
        <f t="shared" si="28"/>
        <v/>
      </c>
      <c r="B231" s="334" t="str">
        <f t="shared" si="29"/>
        <v/>
      </c>
      <c r="C231" s="334" t="str">
        <f t="shared" si="30"/>
        <v/>
      </c>
      <c r="D231" s="334" t="str">
        <f t="shared" si="31"/>
        <v/>
      </c>
      <c r="E231" s="334" t="str">
        <f t="shared" si="32"/>
        <v/>
      </c>
      <c r="F231" s="334" t="str">
        <f t="shared" si="33"/>
        <v/>
      </c>
      <c r="G231" s="334" t="str">
        <f t="shared" si="34"/>
        <v/>
      </c>
      <c r="K231" s="336"/>
      <c r="L231" s="337"/>
    </row>
    <row r="232" spans="1:12" ht="13.8">
      <c r="A232" s="334" t="str">
        <f t="shared" si="28"/>
        <v/>
      </c>
      <c r="B232" s="334" t="str">
        <f t="shared" si="29"/>
        <v/>
      </c>
      <c r="C232" s="334" t="str">
        <f t="shared" si="30"/>
        <v/>
      </c>
      <c r="D232" s="334" t="str">
        <f t="shared" si="31"/>
        <v/>
      </c>
      <c r="E232" s="334" t="str">
        <f t="shared" si="32"/>
        <v/>
      </c>
      <c r="F232" s="334" t="str">
        <f t="shared" si="33"/>
        <v/>
      </c>
      <c r="G232" s="334" t="str">
        <f t="shared" si="34"/>
        <v/>
      </c>
      <c r="K232" s="336"/>
      <c r="L232" s="337"/>
    </row>
    <row r="233" spans="1:12" ht="13.8">
      <c r="A233" s="334" t="str">
        <f t="shared" si="28"/>
        <v/>
      </c>
      <c r="B233" s="334" t="str">
        <f t="shared" si="29"/>
        <v/>
      </c>
      <c r="C233" s="334" t="str">
        <f t="shared" si="30"/>
        <v/>
      </c>
      <c r="D233" s="334" t="str">
        <f t="shared" si="31"/>
        <v/>
      </c>
      <c r="E233" s="334" t="str">
        <f t="shared" si="32"/>
        <v/>
      </c>
      <c r="F233" s="334" t="str">
        <f t="shared" si="33"/>
        <v/>
      </c>
      <c r="G233" s="334" t="str">
        <f t="shared" si="34"/>
        <v/>
      </c>
      <c r="K233" s="336"/>
      <c r="L233" s="337"/>
    </row>
    <row r="234" spans="1:12" ht="13.8">
      <c r="A234" s="334" t="str">
        <f t="shared" si="28"/>
        <v/>
      </c>
      <c r="B234" s="334" t="str">
        <f t="shared" si="29"/>
        <v/>
      </c>
      <c r="C234" s="334" t="str">
        <f t="shared" si="30"/>
        <v/>
      </c>
      <c r="D234" s="334" t="str">
        <f t="shared" si="31"/>
        <v/>
      </c>
      <c r="E234" s="334" t="str">
        <f t="shared" si="32"/>
        <v/>
      </c>
      <c r="F234" s="334" t="str">
        <f t="shared" si="33"/>
        <v/>
      </c>
      <c r="G234" s="334" t="str">
        <f t="shared" si="34"/>
        <v/>
      </c>
      <c r="K234" s="336"/>
      <c r="L234" s="337"/>
    </row>
    <row r="235" spans="1:12" ht="13.8">
      <c r="A235" s="334" t="str">
        <f t="shared" si="28"/>
        <v/>
      </c>
      <c r="B235" s="334" t="str">
        <f t="shared" si="29"/>
        <v/>
      </c>
      <c r="C235" s="334" t="str">
        <f t="shared" si="30"/>
        <v/>
      </c>
      <c r="D235" s="334" t="str">
        <f t="shared" si="31"/>
        <v/>
      </c>
      <c r="E235" s="334" t="str">
        <f t="shared" si="32"/>
        <v/>
      </c>
      <c r="F235" s="334" t="str">
        <f t="shared" si="33"/>
        <v/>
      </c>
      <c r="G235" s="334" t="str">
        <f t="shared" si="34"/>
        <v/>
      </c>
      <c r="K235" s="336"/>
      <c r="L235" s="337"/>
    </row>
    <row r="236" spans="1:12" ht="13.8">
      <c r="A236" s="334" t="str">
        <f t="shared" si="28"/>
        <v/>
      </c>
      <c r="B236" s="334" t="str">
        <f t="shared" si="29"/>
        <v/>
      </c>
      <c r="C236" s="334" t="str">
        <f t="shared" si="30"/>
        <v/>
      </c>
      <c r="D236" s="334" t="str">
        <f t="shared" si="31"/>
        <v/>
      </c>
      <c r="E236" s="334" t="str">
        <f t="shared" si="32"/>
        <v/>
      </c>
      <c r="F236" s="334" t="str">
        <f t="shared" si="33"/>
        <v/>
      </c>
      <c r="G236" s="334" t="str">
        <f t="shared" si="34"/>
        <v/>
      </c>
      <c r="K236" s="336"/>
      <c r="L236" s="337"/>
    </row>
    <row r="237" spans="1:12" ht="13.8">
      <c r="A237" s="334" t="str">
        <f t="shared" si="28"/>
        <v/>
      </c>
      <c r="B237" s="334" t="str">
        <f t="shared" si="29"/>
        <v/>
      </c>
      <c r="C237" s="334" t="str">
        <f t="shared" si="30"/>
        <v/>
      </c>
      <c r="D237" s="334" t="str">
        <f t="shared" si="31"/>
        <v/>
      </c>
      <c r="E237" s="334" t="str">
        <f t="shared" si="32"/>
        <v/>
      </c>
      <c r="F237" s="334" t="str">
        <f t="shared" si="33"/>
        <v/>
      </c>
      <c r="G237" s="334" t="str">
        <f t="shared" si="34"/>
        <v/>
      </c>
      <c r="K237" s="336"/>
      <c r="L237" s="337"/>
    </row>
    <row r="238" spans="1:12" ht="13.8">
      <c r="A238" s="334" t="str">
        <f t="shared" si="28"/>
        <v/>
      </c>
      <c r="B238" s="334" t="str">
        <f t="shared" si="29"/>
        <v/>
      </c>
      <c r="C238" s="334" t="str">
        <f t="shared" si="30"/>
        <v/>
      </c>
      <c r="D238" s="334" t="str">
        <f t="shared" si="31"/>
        <v/>
      </c>
      <c r="E238" s="334" t="str">
        <f t="shared" si="32"/>
        <v/>
      </c>
      <c r="F238" s="334" t="str">
        <f t="shared" si="33"/>
        <v/>
      </c>
      <c r="G238" s="334" t="str">
        <f t="shared" si="34"/>
        <v/>
      </c>
      <c r="K238" s="336"/>
      <c r="L238" s="337"/>
    </row>
    <row r="239" spans="1:12" ht="13.8">
      <c r="A239" s="334" t="str">
        <f t="shared" si="28"/>
        <v/>
      </c>
      <c r="B239" s="334" t="str">
        <f t="shared" si="29"/>
        <v/>
      </c>
      <c r="C239" s="334" t="str">
        <f t="shared" si="30"/>
        <v/>
      </c>
      <c r="D239" s="334" t="str">
        <f t="shared" si="31"/>
        <v/>
      </c>
      <c r="E239" s="334" t="str">
        <f t="shared" si="32"/>
        <v/>
      </c>
      <c r="F239" s="334" t="str">
        <f t="shared" si="33"/>
        <v/>
      </c>
      <c r="G239" s="334" t="str">
        <f t="shared" si="34"/>
        <v/>
      </c>
      <c r="K239" s="336"/>
      <c r="L239" s="337"/>
    </row>
    <row r="240" spans="1:12" ht="13.8">
      <c r="A240" s="334" t="str">
        <f t="shared" si="28"/>
        <v/>
      </c>
      <c r="B240" s="334" t="str">
        <f t="shared" si="29"/>
        <v/>
      </c>
      <c r="C240" s="334" t="str">
        <f t="shared" si="30"/>
        <v/>
      </c>
      <c r="D240" s="334" t="str">
        <f t="shared" si="31"/>
        <v/>
      </c>
      <c r="E240" s="334" t="str">
        <f t="shared" si="32"/>
        <v/>
      </c>
      <c r="F240" s="334" t="str">
        <f t="shared" si="33"/>
        <v/>
      </c>
      <c r="G240" s="334" t="str">
        <f t="shared" si="34"/>
        <v/>
      </c>
      <c r="K240" s="336"/>
      <c r="L240" s="337"/>
    </row>
    <row r="241" spans="1:12" ht="13.8">
      <c r="A241" s="334" t="str">
        <f t="shared" si="28"/>
        <v/>
      </c>
      <c r="B241" s="334" t="str">
        <f t="shared" si="29"/>
        <v/>
      </c>
      <c r="C241" s="334" t="str">
        <f t="shared" si="30"/>
        <v/>
      </c>
      <c r="D241" s="334" t="str">
        <f t="shared" si="31"/>
        <v/>
      </c>
      <c r="E241" s="334" t="str">
        <f t="shared" si="32"/>
        <v/>
      </c>
      <c r="F241" s="334" t="str">
        <f t="shared" si="33"/>
        <v/>
      </c>
      <c r="G241" s="334" t="str">
        <f t="shared" si="34"/>
        <v/>
      </c>
      <c r="K241" s="336"/>
      <c r="L241" s="337"/>
    </row>
    <row r="242" spans="1:12" ht="13.8">
      <c r="A242" s="334" t="str">
        <f t="shared" si="28"/>
        <v/>
      </c>
      <c r="B242" s="334" t="str">
        <f t="shared" si="29"/>
        <v/>
      </c>
      <c r="C242" s="334" t="str">
        <f t="shared" si="30"/>
        <v/>
      </c>
      <c r="D242" s="334" t="str">
        <f t="shared" si="31"/>
        <v/>
      </c>
      <c r="E242" s="334" t="str">
        <f t="shared" si="32"/>
        <v/>
      </c>
      <c r="F242" s="334" t="str">
        <f t="shared" si="33"/>
        <v/>
      </c>
      <c r="G242" s="334" t="str">
        <f t="shared" si="34"/>
        <v/>
      </c>
      <c r="K242" s="336"/>
      <c r="L242" s="337"/>
    </row>
    <row r="243" spans="1:12" ht="13.8">
      <c r="A243" s="334" t="str">
        <f t="shared" si="28"/>
        <v/>
      </c>
      <c r="B243" s="334" t="str">
        <f t="shared" si="29"/>
        <v/>
      </c>
      <c r="C243" s="334" t="str">
        <f t="shared" si="30"/>
        <v/>
      </c>
      <c r="D243" s="334" t="str">
        <f t="shared" si="31"/>
        <v/>
      </c>
      <c r="E243" s="334" t="str">
        <f t="shared" si="32"/>
        <v/>
      </c>
      <c r="F243" s="334" t="str">
        <f t="shared" si="33"/>
        <v/>
      </c>
      <c r="G243" s="334" t="str">
        <f t="shared" si="34"/>
        <v/>
      </c>
      <c r="K243" s="336"/>
      <c r="L243" s="337"/>
    </row>
    <row r="244" spans="1:12" ht="13.8">
      <c r="A244" s="334" t="str">
        <f t="shared" si="28"/>
        <v/>
      </c>
      <c r="B244" s="334" t="str">
        <f t="shared" si="29"/>
        <v/>
      </c>
      <c r="C244" s="334" t="str">
        <f t="shared" si="30"/>
        <v/>
      </c>
      <c r="D244" s="334" t="str">
        <f t="shared" si="31"/>
        <v/>
      </c>
      <c r="E244" s="334" t="str">
        <f t="shared" si="32"/>
        <v/>
      </c>
      <c r="F244" s="334" t="str">
        <f t="shared" si="33"/>
        <v/>
      </c>
      <c r="G244" s="334" t="str">
        <f t="shared" si="34"/>
        <v/>
      </c>
      <c r="K244" s="336"/>
      <c r="L244" s="337"/>
    </row>
    <row r="245" spans="1:12" ht="13.8">
      <c r="A245" s="334" t="str">
        <f t="shared" si="28"/>
        <v/>
      </c>
      <c r="B245" s="334" t="str">
        <f t="shared" si="29"/>
        <v/>
      </c>
      <c r="C245" s="334" t="str">
        <f t="shared" si="30"/>
        <v/>
      </c>
      <c r="D245" s="334" t="str">
        <f t="shared" si="31"/>
        <v/>
      </c>
      <c r="E245" s="334" t="str">
        <f t="shared" si="32"/>
        <v/>
      </c>
      <c r="F245" s="334" t="str">
        <f t="shared" si="33"/>
        <v/>
      </c>
      <c r="G245" s="334" t="str">
        <f t="shared" si="34"/>
        <v/>
      </c>
      <c r="K245" s="336"/>
      <c r="L245" s="337"/>
    </row>
    <row r="246" spans="1:12" ht="13.8">
      <c r="A246" s="334" t="str">
        <f t="shared" si="28"/>
        <v/>
      </c>
      <c r="B246" s="334" t="str">
        <f t="shared" si="29"/>
        <v/>
      </c>
      <c r="C246" s="334" t="str">
        <f t="shared" si="30"/>
        <v/>
      </c>
      <c r="D246" s="334" t="str">
        <f t="shared" si="31"/>
        <v/>
      </c>
      <c r="E246" s="334" t="str">
        <f t="shared" si="32"/>
        <v/>
      </c>
      <c r="F246" s="334" t="str">
        <f t="shared" si="33"/>
        <v/>
      </c>
      <c r="G246" s="334" t="str">
        <f t="shared" si="34"/>
        <v/>
      </c>
      <c r="K246" s="336"/>
      <c r="L246" s="337"/>
    </row>
    <row r="247" spans="1:12" ht="13.8">
      <c r="A247" s="334" t="str">
        <f t="shared" si="28"/>
        <v/>
      </c>
      <c r="B247" s="334" t="str">
        <f t="shared" si="29"/>
        <v/>
      </c>
      <c r="C247" s="334" t="str">
        <f t="shared" si="30"/>
        <v/>
      </c>
      <c r="D247" s="334" t="str">
        <f t="shared" si="31"/>
        <v/>
      </c>
      <c r="E247" s="334" t="str">
        <f t="shared" si="32"/>
        <v/>
      </c>
      <c r="F247" s="334" t="str">
        <f t="shared" si="33"/>
        <v/>
      </c>
      <c r="G247" s="334" t="str">
        <f t="shared" si="34"/>
        <v/>
      </c>
      <c r="K247" s="336"/>
      <c r="L247" s="337"/>
    </row>
    <row r="248" spans="1:12" ht="13.8">
      <c r="A248" s="334" t="str">
        <f t="shared" si="28"/>
        <v/>
      </c>
      <c r="B248" s="334" t="str">
        <f t="shared" si="29"/>
        <v/>
      </c>
      <c r="C248" s="334" t="str">
        <f t="shared" si="30"/>
        <v/>
      </c>
      <c r="D248" s="334" t="str">
        <f t="shared" si="31"/>
        <v/>
      </c>
      <c r="E248" s="334" t="str">
        <f t="shared" si="32"/>
        <v/>
      </c>
      <c r="F248" s="334" t="str">
        <f t="shared" si="33"/>
        <v/>
      </c>
      <c r="G248" s="334" t="str">
        <f t="shared" si="34"/>
        <v/>
      </c>
      <c r="K248" s="336"/>
      <c r="L248" s="337"/>
    </row>
    <row r="249" spans="1:12" ht="13.8">
      <c r="A249" s="334" t="str">
        <f t="shared" si="28"/>
        <v/>
      </c>
      <c r="B249" s="334" t="str">
        <f t="shared" si="29"/>
        <v/>
      </c>
      <c r="C249" s="334" t="str">
        <f t="shared" si="30"/>
        <v/>
      </c>
      <c r="D249" s="334" t="str">
        <f t="shared" si="31"/>
        <v/>
      </c>
      <c r="E249" s="334" t="str">
        <f t="shared" si="32"/>
        <v/>
      </c>
      <c r="F249" s="334" t="str">
        <f t="shared" si="33"/>
        <v/>
      </c>
      <c r="G249" s="334" t="str">
        <f t="shared" si="34"/>
        <v/>
      </c>
      <c r="K249" s="336"/>
      <c r="L249" s="337"/>
    </row>
    <row r="250" spans="1:12" ht="13.8">
      <c r="A250" s="334" t="str">
        <f t="shared" si="28"/>
        <v/>
      </c>
      <c r="B250" s="334" t="str">
        <f t="shared" si="29"/>
        <v/>
      </c>
      <c r="C250" s="334" t="str">
        <f t="shared" si="30"/>
        <v/>
      </c>
      <c r="D250" s="334" t="str">
        <f t="shared" si="31"/>
        <v/>
      </c>
      <c r="E250" s="334" t="str">
        <f t="shared" si="32"/>
        <v/>
      </c>
      <c r="F250" s="334" t="str">
        <f t="shared" si="33"/>
        <v/>
      </c>
      <c r="G250" s="334" t="str">
        <f t="shared" si="34"/>
        <v/>
      </c>
      <c r="K250" s="336"/>
      <c r="L250" s="337"/>
    </row>
    <row r="251" spans="1:12" ht="13.8">
      <c r="A251" s="334" t="str">
        <f t="shared" si="28"/>
        <v/>
      </c>
      <c r="B251" s="334" t="str">
        <f t="shared" si="29"/>
        <v/>
      </c>
      <c r="C251" s="334" t="str">
        <f t="shared" si="30"/>
        <v/>
      </c>
      <c r="D251" s="334" t="str">
        <f t="shared" si="31"/>
        <v/>
      </c>
      <c r="E251" s="334" t="str">
        <f t="shared" si="32"/>
        <v/>
      </c>
      <c r="F251" s="334" t="str">
        <f t="shared" si="33"/>
        <v/>
      </c>
      <c r="G251" s="334" t="str">
        <f t="shared" si="34"/>
        <v/>
      </c>
      <c r="K251" s="336"/>
      <c r="L251" s="337"/>
    </row>
    <row r="252" spans="1:12" ht="13.8">
      <c r="A252" s="334" t="str">
        <f t="shared" si="28"/>
        <v/>
      </c>
      <c r="B252" s="334" t="str">
        <f t="shared" si="29"/>
        <v/>
      </c>
      <c r="C252" s="334" t="str">
        <f t="shared" si="30"/>
        <v/>
      </c>
      <c r="D252" s="334" t="str">
        <f t="shared" si="31"/>
        <v/>
      </c>
      <c r="E252" s="334" t="str">
        <f t="shared" si="32"/>
        <v/>
      </c>
      <c r="F252" s="334" t="str">
        <f t="shared" si="33"/>
        <v/>
      </c>
      <c r="G252" s="334" t="str">
        <f t="shared" si="34"/>
        <v/>
      </c>
      <c r="K252" s="336"/>
      <c r="L252" s="337"/>
    </row>
    <row r="253" spans="1:12" ht="13.8">
      <c r="A253" s="334" t="str">
        <f t="shared" si="28"/>
        <v/>
      </c>
      <c r="B253" s="334" t="str">
        <f t="shared" si="29"/>
        <v/>
      </c>
      <c r="C253" s="334" t="str">
        <f t="shared" si="30"/>
        <v/>
      </c>
      <c r="D253" s="334" t="str">
        <f t="shared" si="31"/>
        <v/>
      </c>
      <c r="E253" s="334" t="str">
        <f t="shared" si="32"/>
        <v/>
      </c>
      <c r="F253" s="334" t="str">
        <f t="shared" si="33"/>
        <v/>
      </c>
      <c r="G253" s="334" t="str">
        <f t="shared" si="34"/>
        <v/>
      </c>
      <c r="K253" s="336"/>
      <c r="L253" s="337"/>
    </row>
    <row r="254" spans="1:12" ht="13.8">
      <c r="A254" s="334" t="str">
        <f t="shared" si="28"/>
        <v/>
      </c>
      <c r="B254" s="334" t="str">
        <f t="shared" si="29"/>
        <v/>
      </c>
      <c r="C254" s="334" t="str">
        <f t="shared" si="30"/>
        <v/>
      </c>
      <c r="D254" s="334" t="str">
        <f t="shared" si="31"/>
        <v/>
      </c>
      <c r="E254" s="334" t="str">
        <f t="shared" si="32"/>
        <v/>
      </c>
      <c r="F254" s="334" t="str">
        <f t="shared" si="33"/>
        <v/>
      </c>
      <c r="G254" s="334" t="str">
        <f t="shared" si="34"/>
        <v/>
      </c>
      <c r="K254" s="336"/>
      <c r="L254" s="337"/>
    </row>
    <row r="255" spans="1:12" ht="13.8">
      <c r="A255" s="334" t="str">
        <f t="shared" si="28"/>
        <v/>
      </c>
      <c r="B255" s="334" t="str">
        <f t="shared" si="29"/>
        <v/>
      </c>
      <c r="C255" s="334" t="str">
        <f t="shared" si="30"/>
        <v/>
      </c>
      <c r="D255" s="334" t="str">
        <f t="shared" si="31"/>
        <v/>
      </c>
      <c r="E255" s="334" t="str">
        <f t="shared" si="32"/>
        <v/>
      </c>
      <c r="F255" s="334" t="str">
        <f t="shared" si="33"/>
        <v/>
      </c>
      <c r="G255" s="334" t="str">
        <f t="shared" si="34"/>
        <v/>
      </c>
      <c r="K255" s="336"/>
      <c r="L255" s="337"/>
    </row>
    <row r="256" spans="1:12" ht="13.8">
      <c r="A256" s="334" t="str">
        <f t="shared" ref="A256:A319" si="35">IF(LEN(C256)+LEN(D256)+LEN(E256)+LEN(F256)&gt;0, I256, "")</f>
        <v/>
      </c>
      <c r="B256" s="334" t="str">
        <f t="shared" ref="B256:B319" si="36">IF(LEN(C256)+LEN(D256)+LEN(E256)+LEN(F256)&gt;0, H256, "")</f>
        <v/>
      </c>
      <c r="C256" s="334" t="str">
        <f t="shared" ref="C256:C319" si="37">IF(K256="textfield", G256, "")</f>
        <v/>
      </c>
      <c r="D256" s="334" t="str">
        <f t="shared" ref="D256:D319" si="38">IF(K256="radiobutton",G256,IF(K256="checkbox",G256,IF(K256="dropdown",G256,"")))</f>
        <v/>
      </c>
      <c r="E256" s="334" t="str">
        <f t="shared" ref="E256:E319" si="39">IF(K256="richtextfield", G256, "")</f>
        <v/>
      </c>
      <c r="F256" s="334" t="str">
        <f t="shared" ref="F256:F319" si="40">IF(K256="table", G256, IF(K256="fixed_table",G256,""))</f>
        <v/>
      </c>
      <c r="G256" s="334" t="str">
        <f t="shared" ref="G256:G319" si="41">IFERROR(IF(LEN(M256)=0, "", IF(L256="pct",TEXT(M256,"0.00%"),IF(L256="currency",TEXT(M256,"###0.00"),IF(L256="date", TEXT(M256,"YYYY-MM-DD"), IF(L256="float2", TEXT(M256,"0.00"), M256))))),"")</f>
        <v/>
      </c>
      <c r="K256" s="336"/>
      <c r="L256" s="337"/>
    </row>
    <row r="257" spans="1:12" ht="13.8">
      <c r="A257" s="334" t="str">
        <f t="shared" si="35"/>
        <v/>
      </c>
      <c r="B257" s="334" t="str">
        <f t="shared" si="36"/>
        <v/>
      </c>
      <c r="C257" s="334" t="str">
        <f t="shared" si="37"/>
        <v/>
      </c>
      <c r="D257" s="334" t="str">
        <f t="shared" si="38"/>
        <v/>
      </c>
      <c r="E257" s="334" t="str">
        <f t="shared" si="39"/>
        <v/>
      </c>
      <c r="F257" s="334" t="str">
        <f t="shared" si="40"/>
        <v/>
      </c>
      <c r="G257" s="334" t="str">
        <f t="shared" si="41"/>
        <v/>
      </c>
      <c r="K257" s="336"/>
      <c r="L257" s="337"/>
    </row>
    <row r="258" spans="1:12" ht="13.8">
      <c r="A258" s="334" t="str">
        <f t="shared" si="35"/>
        <v/>
      </c>
      <c r="B258" s="334" t="str">
        <f t="shared" si="36"/>
        <v/>
      </c>
      <c r="C258" s="334" t="str">
        <f t="shared" si="37"/>
        <v/>
      </c>
      <c r="D258" s="334" t="str">
        <f t="shared" si="38"/>
        <v/>
      </c>
      <c r="E258" s="334" t="str">
        <f t="shared" si="39"/>
        <v/>
      </c>
      <c r="F258" s="334" t="str">
        <f t="shared" si="40"/>
        <v/>
      </c>
      <c r="G258" s="334" t="str">
        <f t="shared" si="41"/>
        <v/>
      </c>
      <c r="K258" s="336"/>
      <c r="L258" s="337"/>
    </row>
    <row r="259" spans="1:12" ht="13.8">
      <c r="A259" s="334" t="str">
        <f t="shared" si="35"/>
        <v/>
      </c>
      <c r="B259" s="334" t="str">
        <f t="shared" si="36"/>
        <v/>
      </c>
      <c r="C259" s="334" t="str">
        <f t="shared" si="37"/>
        <v/>
      </c>
      <c r="D259" s="334" t="str">
        <f t="shared" si="38"/>
        <v/>
      </c>
      <c r="E259" s="334" t="str">
        <f t="shared" si="39"/>
        <v/>
      </c>
      <c r="F259" s="334" t="str">
        <f t="shared" si="40"/>
        <v/>
      </c>
      <c r="G259" s="334" t="str">
        <f t="shared" si="41"/>
        <v/>
      </c>
      <c r="K259" s="336"/>
      <c r="L259" s="337"/>
    </row>
    <row r="260" spans="1:12" ht="13.8">
      <c r="A260" s="334" t="str">
        <f t="shared" si="35"/>
        <v/>
      </c>
      <c r="B260" s="334" t="str">
        <f t="shared" si="36"/>
        <v/>
      </c>
      <c r="C260" s="334" t="str">
        <f t="shared" si="37"/>
        <v/>
      </c>
      <c r="D260" s="334" t="str">
        <f t="shared" si="38"/>
        <v/>
      </c>
      <c r="E260" s="334" t="str">
        <f t="shared" si="39"/>
        <v/>
      </c>
      <c r="F260" s="334" t="str">
        <f t="shared" si="40"/>
        <v/>
      </c>
      <c r="G260" s="334" t="str">
        <f t="shared" si="41"/>
        <v/>
      </c>
      <c r="K260" s="336"/>
      <c r="L260" s="337"/>
    </row>
    <row r="261" spans="1:12" ht="13.8">
      <c r="A261" s="334" t="str">
        <f t="shared" si="35"/>
        <v/>
      </c>
      <c r="B261" s="334" t="str">
        <f t="shared" si="36"/>
        <v/>
      </c>
      <c r="C261" s="334" t="str">
        <f t="shared" si="37"/>
        <v/>
      </c>
      <c r="D261" s="334" t="str">
        <f t="shared" si="38"/>
        <v/>
      </c>
      <c r="E261" s="334" t="str">
        <f t="shared" si="39"/>
        <v/>
      </c>
      <c r="F261" s="334" t="str">
        <f t="shared" si="40"/>
        <v/>
      </c>
      <c r="G261" s="334" t="str">
        <f t="shared" si="41"/>
        <v/>
      </c>
      <c r="K261" s="336"/>
      <c r="L261" s="337"/>
    </row>
    <row r="262" spans="1:12" ht="13.8">
      <c r="A262" s="334" t="str">
        <f t="shared" si="35"/>
        <v/>
      </c>
      <c r="B262" s="334" t="str">
        <f t="shared" si="36"/>
        <v/>
      </c>
      <c r="C262" s="334" t="str">
        <f t="shared" si="37"/>
        <v/>
      </c>
      <c r="D262" s="334" t="str">
        <f t="shared" si="38"/>
        <v/>
      </c>
      <c r="E262" s="334" t="str">
        <f t="shared" si="39"/>
        <v/>
      </c>
      <c r="F262" s="334" t="str">
        <f t="shared" si="40"/>
        <v/>
      </c>
      <c r="G262" s="334" t="str">
        <f t="shared" si="41"/>
        <v/>
      </c>
      <c r="K262" s="336"/>
      <c r="L262" s="337"/>
    </row>
    <row r="263" spans="1:12" ht="13.8">
      <c r="A263" s="334" t="str">
        <f t="shared" si="35"/>
        <v/>
      </c>
      <c r="B263" s="334" t="str">
        <f t="shared" si="36"/>
        <v/>
      </c>
      <c r="C263" s="334" t="str">
        <f t="shared" si="37"/>
        <v/>
      </c>
      <c r="D263" s="334" t="str">
        <f t="shared" si="38"/>
        <v/>
      </c>
      <c r="E263" s="334" t="str">
        <f t="shared" si="39"/>
        <v/>
      </c>
      <c r="F263" s="334" t="str">
        <f t="shared" si="40"/>
        <v/>
      </c>
      <c r="G263" s="334" t="str">
        <f t="shared" si="41"/>
        <v/>
      </c>
      <c r="K263" s="336"/>
      <c r="L263" s="337"/>
    </row>
    <row r="264" spans="1:12" ht="13.8">
      <c r="A264" s="334" t="str">
        <f t="shared" si="35"/>
        <v/>
      </c>
      <c r="B264" s="334" t="str">
        <f t="shared" si="36"/>
        <v/>
      </c>
      <c r="C264" s="334" t="str">
        <f t="shared" si="37"/>
        <v/>
      </c>
      <c r="D264" s="334" t="str">
        <f t="shared" si="38"/>
        <v/>
      </c>
      <c r="E264" s="334" t="str">
        <f t="shared" si="39"/>
        <v/>
      </c>
      <c r="F264" s="334" t="str">
        <f t="shared" si="40"/>
        <v/>
      </c>
      <c r="G264" s="334" t="str">
        <f t="shared" si="41"/>
        <v/>
      </c>
      <c r="K264" s="336"/>
      <c r="L264" s="337"/>
    </row>
    <row r="265" spans="1:12" ht="13.8">
      <c r="A265" s="334" t="str">
        <f t="shared" si="35"/>
        <v/>
      </c>
      <c r="B265" s="334" t="str">
        <f t="shared" si="36"/>
        <v/>
      </c>
      <c r="C265" s="334" t="str">
        <f t="shared" si="37"/>
        <v/>
      </c>
      <c r="D265" s="334" t="str">
        <f t="shared" si="38"/>
        <v/>
      </c>
      <c r="E265" s="334" t="str">
        <f t="shared" si="39"/>
        <v/>
      </c>
      <c r="F265" s="334" t="str">
        <f t="shared" si="40"/>
        <v/>
      </c>
      <c r="G265" s="334" t="str">
        <f t="shared" si="41"/>
        <v/>
      </c>
      <c r="K265" s="336"/>
      <c r="L265" s="337"/>
    </row>
    <row r="266" spans="1:12" ht="13.8">
      <c r="A266" s="334" t="str">
        <f t="shared" si="35"/>
        <v/>
      </c>
      <c r="B266" s="334" t="str">
        <f t="shared" si="36"/>
        <v/>
      </c>
      <c r="C266" s="334" t="str">
        <f t="shared" si="37"/>
        <v/>
      </c>
      <c r="D266" s="334" t="str">
        <f t="shared" si="38"/>
        <v/>
      </c>
      <c r="E266" s="334" t="str">
        <f t="shared" si="39"/>
        <v/>
      </c>
      <c r="F266" s="334" t="str">
        <f t="shared" si="40"/>
        <v/>
      </c>
      <c r="G266" s="334" t="str">
        <f t="shared" si="41"/>
        <v/>
      </c>
      <c r="K266" s="336"/>
      <c r="L266" s="337"/>
    </row>
    <row r="267" spans="1:12" ht="13.8">
      <c r="A267" s="334" t="str">
        <f t="shared" si="35"/>
        <v/>
      </c>
      <c r="B267" s="334" t="str">
        <f t="shared" si="36"/>
        <v/>
      </c>
      <c r="C267" s="334" t="str">
        <f t="shared" si="37"/>
        <v/>
      </c>
      <c r="D267" s="334" t="str">
        <f t="shared" si="38"/>
        <v/>
      </c>
      <c r="E267" s="334" t="str">
        <f t="shared" si="39"/>
        <v/>
      </c>
      <c r="F267" s="334" t="str">
        <f t="shared" si="40"/>
        <v/>
      </c>
      <c r="G267" s="334" t="str">
        <f t="shared" si="41"/>
        <v/>
      </c>
      <c r="K267" s="336"/>
      <c r="L267" s="337"/>
    </row>
    <row r="268" spans="1:12" ht="13.8">
      <c r="A268" s="334" t="str">
        <f t="shared" si="35"/>
        <v/>
      </c>
      <c r="B268" s="334" t="str">
        <f t="shared" si="36"/>
        <v/>
      </c>
      <c r="C268" s="334" t="str">
        <f t="shared" si="37"/>
        <v/>
      </c>
      <c r="D268" s="334" t="str">
        <f t="shared" si="38"/>
        <v/>
      </c>
      <c r="E268" s="334" t="str">
        <f t="shared" si="39"/>
        <v/>
      </c>
      <c r="F268" s="334" t="str">
        <f t="shared" si="40"/>
        <v/>
      </c>
      <c r="G268" s="334" t="str">
        <f t="shared" si="41"/>
        <v/>
      </c>
      <c r="K268" s="336"/>
      <c r="L268" s="337"/>
    </row>
    <row r="269" spans="1:12" ht="13.8">
      <c r="A269" s="334" t="str">
        <f t="shared" si="35"/>
        <v/>
      </c>
      <c r="B269" s="334" t="str">
        <f t="shared" si="36"/>
        <v/>
      </c>
      <c r="C269" s="334" t="str">
        <f t="shared" si="37"/>
        <v/>
      </c>
      <c r="D269" s="334" t="str">
        <f t="shared" si="38"/>
        <v/>
      </c>
      <c r="E269" s="334" t="str">
        <f t="shared" si="39"/>
        <v/>
      </c>
      <c r="F269" s="334" t="str">
        <f t="shared" si="40"/>
        <v/>
      </c>
      <c r="G269" s="334" t="str">
        <f t="shared" si="41"/>
        <v/>
      </c>
      <c r="K269" s="336"/>
      <c r="L269" s="337"/>
    </row>
    <row r="270" spans="1:12" ht="13.8">
      <c r="A270" s="334" t="str">
        <f t="shared" si="35"/>
        <v/>
      </c>
      <c r="B270" s="334" t="str">
        <f t="shared" si="36"/>
        <v/>
      </c>
      <c r="C270" s="334" t="str">
        <f t="shared" si="37"/>
        <v/>
      </c>
      <c r="D270" s="334" t="str">
        <f t="shared" si="38"/>
        <v/>
      </c>
      <c r="E270" s="334" t="str">
        <f t="shared" si="39"/>
        <v/>
      </c>
      <c r="F270" s="334" t="str">
        <f t="shared" si="40"/>
        <v/>
      </c>
      <c r="G270" s="334" t="str">
        <f t="shared" si="41"/>
        <v/>
      </c>
      <c r="K270" s="336"/>
      <c r="L270" s="337"/>
    </row>
    <row r="271" spans="1:12" ht="13.8">
      <c r="A271" s="334" t="str">
        <f t="shared" si="35"/>
        <v/>
      </c>
      <c r="B271" s="334" t="str">
        <f t="shared" si="36"/>
        <v/>
      </c>
      <c r="C271" s="334" t="str">
        <f t="shared" si="37"/>
        <v/>
      </c>
      <c r="D271" s="334" t="str">
        <f t="shared" si="38"/>
        <v/>
      </c>
      <c r="E271" s="334" t="str">
        <f t="shared" si="39"/>
        <v/>
      </c>
      <c r="F271" s="334" t="str">
        <f t="shared" si="40"/>
        <v/>
      </c>
      <c r="G271" s="334" t="str">
        <f t="shared" si="41"/>
        <v/>
      </c>
      <c r="K271" s="336"/>
      <c r="L271" s="337"/>
    </row>
    <row r="272" spans="1:12" ht="13.8">
      <c r="A272" s="334" t="str">
        <f t="shared" si="35"/>
        <v/>
      </c>
      <c r="B272" s="334" t="str">
        <f t="shared" si="36"/>
        <v/>
      </c>
      <c r="C272" s="334" t="str">
        <f t="shared" si="37"/>
        <v/>
      </c>
      <c r="D272" s="334" t="str">
        <f t="shared" si="38"/>
        <v/>
      </c>
      <c r="E272" s="334" t="str">
        <f t="shared" si="39"/>
        <v/>
      </c>
      <c r="F272" s="334" t="str">
        <f t="shared" si="40"/>
        <v/>
      </c>
      <c r="G272" s="334" t="str">
        <f t="shared" si="41"/>
        <v/>
      </c>
      <c r="K272" s="336"/>
      <c r="L272" s="337"/>
    </row>
    <row r="273" spans="1:13" ht="13.8">
      <c r="A273" s="334" t="str">
        <f t="shared" si="35"/>
        <v/>
      </c>
      <c r="B273" s="334" t="str">
        <f t="shared" si="36"/>
        <v/>
      </c>
      <c r="C273" s="334" t="str">
        <f t="shared" si="37"/>
        <v/>
      </c>
      <c r="D273" s="334" t="str">
        <f t="shared" si="38"/>
        <v/>
      </c>
      <c r="E273" s="334" t="str">
        <f t="shared" si="39"/>
        <v/>
      </c>
      <c r="F273" s="334" t="str">
        <f t="shared" si="40"/>
        <v/>
      </c>
      <c r="G273" s="334" t="str">
        <f t="shared" si="41"/>
        <v/>
      </c>
      <c r="K273" s="336"/>
      <c r="L273" s="337"/>
    </row>
    <row r="274" spans="1:13" ht="13.8">
      <c r="A274" s="334" t="str">
        <f t="shared" si="35"/>
        <v/>
      </c>
      <c r="B274" s="334" t="str">
        <f t="shared" si="36"/>
        <v/>
      </c>
      <c r="C274" s="334" t="str">
        <f t="shared" si="37"/>
        <v/>
      </c>
      <c r="D274" s="334" t="str">
        <f t="shared" si="38"/>
        <v/>
      </c>
      <c r="E274" s="334" t="str">
        <f t="shared" si="39"/>
        <v/>
      </c>
      <c r="F274" s="334" t="str">
        <f t="shared" si="40"/>
        <v/>
      </c>
      <c r="G274" s="334" t="str">
        <f t="shared" si="41"/>
        <v/>
      </c>
      <c r="K274" s="336"/>
      <c r="L274" s="337"/>
    </row>
    <row r="275" spans="1:13" ht="13.8">
      <c r="A275" s="334" t="str">
        <f t="shared" si="35"/>
        <v/>
      </c>
      <c r="B275" s="334" t="str">
        <f t="shared" si="36"/>
        <v/>
      </c>
      <c r="C275" s="334" t="str">
        <f t="shared" si="37"/>
        <v/>
      </c>
      <c r="D275" s="334" t="str">
        <f t="shared" si="38"/>
        <v/>
      </c>
      <c r="E275" s="334" t="str">
        <f t="shared" si="39"/>
        <v/>
      </c>
      <c r="F275" s="334" t="str">
        <f t="shared" si="40"/>
        <v/>
      </c>
      <c r="G275" s="334" t="str">
        <f t="shared" si="41"/>
        <v/>
      </c>
      <c r="K275" s="336"/>
      <c r="L275" s="337"/>
    </row>
    <row r="276" spans="1:13" ht="13.8">
      <c r="A276" s="334" t="str">
        <f t="shared" si="35"/>
        <v/>
      </c>
      <c r="B276" s="334" t="str">
        <f t="shared" si="36"/>
        <v/>
      </c>
      <c r="C276" s="334" t="str">
        <f t="shared" si="37"/>
        <v/>
      </c>
      <c r="D276" s="334" t="str">
        <f t="shared" si="38"/>
        <v/>
      </c>
      <c r="E276" s="334" t="str">
        <f t="shared" si="39"/>
        <v/>
      </c>
      <c r="F276" s="334" t="str">
        <f t="shared" si="40"/>
        <v/>
      </c>
      <c r="G276" s="334" t="str">
        <f t="shared" si="41"/>
        <v/>
      </c>
      <c r="K276" s="336"/>
      <c r="L276" s="337"/>
    </row>
    <row r="277" spans="1:13" ht="13.8">
      <c r="A277" s="334" t="str">
        <f t="shared" si="35"/>
        <v/>
      </c>
      <c r="B277" s="334" t="str">
        <f t="shared" si="36"/>
        <v/>
      </c>
      <c r="C277" s="334" t="str">
        <f t="shared" si="37"/>
        <v/>
      </c>
      <c r="D277" s="334" t="str">
        <f t="shared" si="38"/>
        <v/>
      </c>
      <c r="E277" s="334" t="str">
        <f t="shared" si="39"/>
        <v/>
      </c>
      <c r="F277" s="334" t="str">
        <f t="shared" si="40"/>
        <v/>
      </c>
      <c r="G277" s="334" t="str">
        <f t="shared" si="41"/>
        <v/>
      </c>
      <c r="K277" s="336"/>
      <c r="L277" s="337"/>
    </row>
    <row r="278" spans="1:13" ht="13.8">
      <c r="A278" s="334" t="str">
        <f t="shared" si="35"/>
        <v/>
      </c>
      <c r="B278" s="334" t="str">
        <f t="shared" si="36"/>
        <v/>
      </c>
      <c r="C278" s="334" t="str">
        <f t="shared" si="37"/>
        <v/>
      </c>
      <c r="D278" s="334" t="str">
        <f t="shared" si="38"/>
        <v/>
      </c>
      <c r="E278" s="334" t="str">
        <f t="shared" si="39"/>
        <v/>
      </c>
      <c r="F278" s="334" t="str">
        <f t="shared" si="40"/>
        <v/>
      </c>
      <c r="G278" s="334" t="str">
        <f t="shared" si="41"/>
        <v/>
      </c>
      <c r="K278" s="336"/>
      <c r="L278" s="337"/>
    </row>
    <row r="279" spans="1:13" ht="13.8">
      <c r="A279" s="334" t="str">
        <f t="shared" si="35"/>
        <v/>
      </c>
      <c r="B279" s="334" t="str">
        <f t="shared" si="36"/>
        <v/>
      </c>
      <c r="C279" s="334" t="str">
        <f t="shared" si="37"/>
        <v/>
      </c>
      <c r="D279" s="334" t="str">
        <f t="shared" si="38"/>
        <v/>
      </c>
      <c r="E279" s="334" t="str">
        <f t="shared" si="39"/>
        <v/>
      </c>
      <c r="F279" s="334" t="str">
        <f t="shared" si="40"/>
        <v/>
      </c>
      <c r="G279" s="334" t="str">
        <f t="shared" si="41"/>
        <v/>
      </c>
      <c r="K279" s="336"/>
      <c r="L279" s="337"/>
    </row>
    <row r="280" spans="1:13" ht="13.8">
      <c r="A280" s="334" t="str">
        <f t="shared" si="35"/>
        <v/>
      </c>
      <c r="B280" s="334" t="str">
        <f t="shared" si="36"/>
        <v/>
      </c>
      <c r="C280" s="334" t="str">
        <f t="shared" si="37"/>
        <v/>
      </c>
      <c r="D280" s="334" t="str">
        <f t="shared" si="38"/>
        <v/>
      </c>
      <c r="E280" s="334" t="str">
        <f t="shared" si="39"/>
        <v/>
      </c>
      <c r="F280" s="334" t="str">
        <f t="shared" si="40"/>
        <v/>
      </c>
      <c r="G280" s="334" t="str">
        <f t="shared" si="41"/>
        <v/>
      </c>
      <c r="K280" s="336"/>
      <c r="L280" s="337"/>
    </row>
    <row r="281" spans="1:13" ht="13.8">
      <c r="A281" s="334" t="str">
        <f t="shared" si="35"/>
        <v/>
      </c>
      <c r="B281" s="334" t="str">
        <f t="shared" si="36"/>
        <v/>
      </c>
      <c r="C281" s="334" t="str">
        <f t="shared" si="37"/>
        <v/>
      </c>
      <c r="D281" s="334" t="str">
        <f t="shared" si="38"/>
        <v/>
      </c>
      <c r="E281" s="334" t="str">
        <f t="shared" si="39"/>
        <v/>
      </c>
      <c r="F281" s="334" t="str">
        <f t="shared" si="40"/>
        <v/>
      </c>
      <c r="G281" s="334" t="str">
        <f t="shared" si="41"/>
        <v/>
      </c>
      <c r="K281" s="336"/>
      <c r="L281" s="337"/>
    </row>
    <row r="282" spans="1:13" ht="13.8">
      <c r="A282" s="334" t="str">
        <f t="shared" si="35"/>
        <v/>
      </c>
      <c r="B282" s="334" t="str">
        <f t="shared" si="36"/>
        <v/>
      </c>
      <c r="C282" s="334" t="str">
        <f t="shared" si="37"/>
        <v/>
      </c>
      <c r="D282" s="334" t="str">
        <f t="shared" si="38"/>
        <v/>
      </c>
      <c r="E282" s="334" t="str">
        <f t="shared" si="39"/>
        <v/>
      </c>
      <c r="F282" s="334" t="str">
        <f t="shared" si="40"/>
        <v/>
      </c>
      <c r="G282" s="334" t="str">
        <f t="shared" si="41"/>
        <v/>
      </c>
      <c r="K282" s="336"/>
      <c r="L282" s="337"/>
      <c r="M282" s="350"/>
    </row>
    <row r="283" spans="1:13" ht="13.8">
      <c r="A283" s="334" t="str">
        <f t="shared" si="35"/>
        <v/>
      </c>
      <c r="B283" s="334" t="str">
        <f t="shared" si="36"/>
        <v/>
      </c>
      <c r="C283" s="334" t="str">
        <f t="shared" si="37"/>
        <v/>
      </c>
      <c r="D283" s="334" t="str">
        <f t="shared" si="38"/>
        <v/>
      </c>
      <c r="E283" s="334" t="str">
        <f t="shared" si="39"/>
        <v/>
      </c>
      <c r="F283" s="334" t="str">
        <f t="shared" si="40"/>
        <v/>
      </c>
      <c r="G283" s="334" t="str">
        <f t="shared" si="41"/>
        <v/>
      </c>
      <c r="K283" s="336"/>
      <c r="L283" s="337"/>
      <c r="M283" s="350"/>
    </row>
    <row r="284" spans="1:13" ht="13.8">
      <c r="A284" s="334" t="str">
        <f t="shared" si="35"/>
        <v/>
      </c>
      <c r="B284" s="334" t="str">
        <f t="shared" si="36"/>
        <v/>
      </c>
      <c r="C284" s="334" t="str">
        <f t="shared" si="37"/>
        <v/>
      </c>
      <c r="D284" s="334" t="str">
        <f t="shared" si="38"/>
        <v/>
      </c>
      <c r="E284" s="334" t="str">
        <f t="shared" si="39"/>
        <v/>
      </c>
      <c r="F284" s="334" t="str">
        <f t="shared" si="40"/>
        <v/>
      </c>
      <c r="G284" s="334" t="str">
        <f t="shared" si="41"/>
        <v/>
      </c>
      <c r="K284" s="336"/>
      <c r="L284" s="337"/>
      <c r="M284" s="350"/>
    </row>
    <row r="285" spans="1:13" ht="13.8">
      <c r="A285" s="334" t="str">
        <f t="shared" si="35"/>
        <v/>
      </c>
      <c r="B285" s="334" t="str">
        <f t="shared" si="36"/>
        <v/>
      </c>
      <c r="C285" s="334" t="str">
        <f t="shared" si="37"/>
        <v/>
      </c>
      <c r="D285" s="334" t="str">
        <f t="shared" si="38"/>
        <v/>
      </c>
      <c r="E285" s="334" t="str">
        <f t="shared" si="39"/>
        <v/>
      </c>
      <c r="F285" s="334" t="str">
        <f t="shared" si="40"/>
        <v/>
      </c>
      <c r="G285" s="334" t="str">
        <f t="shared" si="41"/>
        <v/>
      </c>
      <c r="K285" s="336"/>
      <c r="L285" s="337"/>
      <c r="M285" s="350"/>
    </row>
    <row r="286" spans="1:13" ht="13.8">
      <c r="A286" s="334" t="str">
        <f t="shared" si="35"/>
        <v/>
      </c>
      <c r="B286" s="334" t="str">
        <f t="shared" si="36"/>
        <v/>
      </c>
      <c r="C286" s="334" t="str">
        <f t="shared" si="37"/>
        <v/>
      </c>
      <c r="D286" s="334" t="str">
        <f t="shared" si="38"/>
        <v/>
      </c>
      <c r="E286" s="334" t="str">
        <f t="shared" si="39"/>
        <v/>
      </c>
      <c r="F286" s="334" t="str">
        <f t="shared" si="40"/>
        <v/>
      </c>
      <c r="G286" s="334" t="str">
        <f t="shared" si="41"/>
        <v/>
      </c>
      <c r="K286" s="336"/>
      <c r="L286" s="337"/>
      <c r="M286" s="350"/>
    </row>
    <row r="287" spans="1:13" ht="13.8">
      <c r="A287" s="334" t="str">
        <f t="shared" si="35"/>
        <v/>
      </c>
      <c r="B287" s="334" t="str">
        <f t="shared" si="36"/>
        <v/>
      </c>
      <c r="C287" s="334" t="str">
        <f t="shared" si="37"/>
        <v/>
      </c>
      <c r="D287" s="334" t="str">
        <f t="shared" si="38"/>
        <v/>
      </c>
      <c r="E287" s="334" t="str">
        <f t="shared" si="39"/>
        <v/>
      </c>
      <c r="F287" s="334" t="str">
        <f t="shared" si="40"/>
        <v/>
      </c>
      <c r="G287" s="334" t="str">
        <f t="shared" si="41"/>
        <v/>
      </c>
      <c r="K287" s="336"/>
      <c r="L287" s="337"/>
      <c r="M287" s="350"/>
    </row>
    <row r="288" spans="1:13" ht="13.8">
      <c r="A288" s="334" t="str">
        <f t="shared" si="35"/>
        <v/>
      </c>
      <c r="B288" s="334" t="str">
        <f t="shared" si="36"/>
        <v/>
      </c>
      <c r="C288" s="334" t="str">
        <f t="shared" si="37"/>
        <v/>
      </c>
      <c r="D288" s="334" t="str">
        <f t="shared" si="38"/>
        <v/>
      </c>
      <c r="E288" s="334" t="str">
        <f t="shared" si="39"/>
        <v/>
      </c>
      <c r="F288" s="334" t="str">
        <f t="shared" si="40"/>
        <v/>
      </c>
      <c r="G288" s="334" t="str">
        <f t="shared" si="41"/>
        <v/>
      </c>
      <c r="K288" s="336"/>
      <c r="L288" s="337"/>
      <c r="M288" s="350"/>
    </row>
    <row r="289" spans="1:13" ht="13.8">
      <c r="A289" s="334" t="str">
        <f t="shared" si="35"/>
        <v/>
      </c>
      <c r="B289" s="334" t="str">
        <f t="shared" si="36"/>
        <v/>
      </c>
      <c r="C289" s="334" t="str">
        <f t="shared" si="37"/>
        <v/>
      </c>
      <c r="D289" s="334" t="str">
        <f t="shared" si="38"/>
        <v/>
      </c>
      <c r="E289" s="334" t="str">
        <f t="shared" si="39"/>
        <v/>
      </c>
      <c r="F289" s="334" t="str">
        <f t="shared" si="40"/>
        <v/>
      </c>
      <c r="G289" s="334" t="str">
        <f t="shared" si="41"/>
        <v/>
      </c>
      <c r="K289" s="336"/>
      <c r="L289" s="337"/>
      <c r="M289" s="350"/>
    </row>
    <row r="290" spans="1:13" ht="13.8">
      <c r="A290" s="334" t="str">
        <f t="shared" si="35"/>
        <v/>
      </c>
      <c r="B290" s="334" t="str">
        <f t="shared" si="36"/>
        <v/>
      </c>
      <c r="C290" s="334" t="str">
        <f t="shared" si="37"/>
        <v/>
      </c>
      <c r="D290" s="334" t="str">
        <f t="shared" si="38"/>
        <v/>
      </c>
      <c r="E290" s="334" t="str">
        <f t="shared" si="39"/>
        <v/>
      </c>
      <c r="F290" s="334" t="str">
        <f t="shared" si="40"/>
        <v/>
      </c>
      <c r="G290" s="334" t="str">
        <f t="shared" si="41"/>
        <v/>
      </c>
      <c r="K290" s="336"/>
      <c r="L290" s="337"/>
      <c r="M290" s="350"/>
    </row>
    <row r="291" spans="1:13" ht="13.8">
      <c r="A291" s="334" t="str">
        <f t="shared" si="35"/>
        <v/>
      </c>
      <c r="B291" s="334" t="str">
        <f t="shared" si="36"/>
        <v/>
      </c>
      <c r="C291" s="334" t="str">
        <f t="shared" si="37"/>
        <v/>
      </c>
      <c r="D291" s="334" t="str">
        <f t="shared" si="38"/>
        <v/>
      </c>
      <c r="E291" s="334" t="str">
        <f t="shared" si="39"/>
        <v/>
      </c>
      <c r="F291" s="334" t="str">
        <f t="shared" si="40"/>
        <v/>
      </c>
      <c r="G291" s="334" t="str">
        <f t="shared" si="41"/>
        <v/>
      </c>
      <c r="K291" s="336"/>
      <c r="L291" s="337"/>
      <c r="M291" s="350"/>
    </row>
    <row r="292" spans="1:13" ht="13.8">
      <c r="A292" s="334" t="str">
        <f t="shared" si="35"/>
        <v/>
      </c>
      <c r="B292" s="334" t="str">
        <f t="shared" si="36"/>
        <v/>
      </c>
      <c r="C292" s="334" t="str">
        <f t="shared" si="37"/>
        <v/>
      </c>
      <c r="D292" s="334" t="str">
        <f t="shared" si="38"/>
        <v/>
      </c>
      <c r="E292" s="334" t="str">
        <f t="shared" si="39"/>
        <v/>
      </c>
      <c r="F292" s="334" t="str">
        <f t="shared" si="40"/>
        <v/>
      </c>
      <c r="G292" s="334" t="str">
        <f t="shared" si="41"/>
        <v/>
      </c>
      <c r="K292" s="336"/>
      <c r="L292" s="337"/>
      <c r="M292" s="350"/>
    </row>
    <row r="293" spans="1:13" ht="13.8">
      <c r="A293" s="334" t="str">
        <f t="shared" si="35"/>
        <v/>
      </c>
      <c r="B293" s="334" t="str">
        <f t="shared" si="36"/>
        <v/>
      </c>
      <c r="C293" s="334" t="str">
        <f t="shared" si="37"/>
        <v/>
      </c>
      <c r="D293" s="334" t="str">
        <f t="shared" si="38"/>
        <v/>
      </c>
      <c r="E293" s="334" t="str">
        <f t="shared" si="39"/>
        <v/>
      </c>
      <c r="F293" s="334" t="str">
        <f t="shared" si="40"/>
        <v/>
      </c>
      <c r="G293" s="334" t="str">
        <f t="shared" si="41"/>
        <v/>
      </c>
      <c r="K293" s="336"/>
      <c r="L293" s="337"/>
      <c r="M293" s="350"/>
    </row>
    <row r="294" spans="1:13" ht="13.8">
      <c r="A294" s="334" t="str">
        <f t="shared" si="35"/>
        <v/>
      </c>
      <c r="B294" s="334" t="str">
        <f t="shared" si="36"/>
        <v/>
      </c>
      <c r="C294" s="334" t="str">
        <f t="shared" si="37"/>
        <v/>
      </c>
      <c r="D294" s="334" t="str">
        <f t="shared" si="38"/>
        <v/>
      </c>
      <c r="E294" s="334" t="str">
        <f t="shared" si="39"/>
        <v/>
      </c>
      <c r="F294" s="334" t="str">
        <f t="shared" si="40"/>
        <v/>
      </c>
      <c r="G294" s="334" t="str">
        <f t="shared" si="41"/>
        <v/>
      </c>
      <c r="K294" s="336"/>
      <c r="L294" s="337"/>
      <c r="M294" s="350"/>
    </row>
    <row r="295" spans="1:13" ht="13.8">
      <c r="A295" s="334" t="str">
        <f t="shared" si="35"/>
        <v/>
      </c>
      <c r="B295" s="334" t="str">
        <f t="shared" si="36"/>
        <v/>
      </c>
      <c r="C295" s="334" t="str">
        <f t="shared" si="37"/>
        <v/>
      </c>
      <c r="D295" s="334" t="str">
        <f t="shared" si="38"/>
        <v/>
      </c>
      <c r="E295" s="334" t="str">
        <f t="shared" si="39"/>
        <v/>
      </c>
      <c r="F295" s="334" t="str">
        <f t="shared" si="40"/>
        <v/>
      </c>
      <c r="G295" s="334" t="str">
        <f t="shared" si="41"/>
        <v/>
      </c>
      <c r="K295" s="336"/>
      <c r="L295" s="337"/>
      <c r="M295" s="350"/>
    </row>
    <row r="296" spans="1:13" ht="13.8">
      <c r="A296" s="334" t="str">
        <f t="shared" si="35"/>
        <v/>
      </c>
      <c r="B296" s="334" t="str">
        <f t="shared" si="36"/>
        <v/>
      </c>
      <c r="C296" s="334" t="str">
        <f t="shared" si="37"/>
        <v/>
      </c>
      <c r="D296" s="334" t="str">
        <f t="shared" si="38"/>
        <v/>
      </c>
      <c r="E296" s="334" t="str">
        <f t="shared" si="39"/>
        <v/>
      </c>
      <c r="F296" s="334" t="str">
        <f t="shared" si="40"/>
        <v/>
      </c>
      <c r="G296" s="334" t="str">
        <f t="shared" si="41"/>
        <v/>
      </c>
      <c r="K296" s="336"/>
      <c r="L296" s="337"/>
      <c r="M296" s="350"/>
    </row>
    <row r="297" spans="1:13" ht="13.8">
      <c r="A297" s="334" t="str">
        <f t="shared" si="35"/>
        <v/>
      </c>
      <c r="B297" s="334" t="str">
        <f t="shared" si="36"/>
        <v/>
      </c>
      <c r="C297" s="334" t="str">
        <f t="shared" si="37"/>
        <v/>
      </c>
      <c r="D297" s="334" t="str">
        <f t="shared" si="38"/>
        <v/>
      </c>
      <c r="E297" s="334" t="str">
        <f t="shared" si="39"/>
        <v/>
      </c>
      <c r="F297" s="334" t="str">
        <f t="shared" si="40"/>
        <v/>
      </c>
      <c r="G297" s="334" t="str">
        <f t="shared" si="41"/>
        <v/>
      </c>
      <c r="K297" s="336"/>
      <c r="L297" s="337"/>
      <c r="M297" s="350"/>
    </row>
    <row r="298" spans="1:13" ht="13.8">
      <c r="A298" s="334" t="str">
        <f t="shared" si="35"/>
        <v/>
      </c>
      <c r="B298" s="334" t="str">
        <f t="shared" si="36"/>
        <v/>
      </c>
      <c r="C298" s="334" t="str">
        <f t="shared" si="37"/>
        <v/>
      </c>
      <c r="D298" s="334" t="str">
        <f t="shared" si="38"/>
        <v/>
      </c>
      <c r="E298" s="334" t="str">
        <f t="shared" si="39"/>
        <v/>
      </c>
      <c r="F298" s="334" t="str">
        <f t="shared" si="40"/>
        <v/>
      </c>
      <c r="G298" s="334" t="str">
        <f t="shared" si="41"/>
        <v/>
      </c>
      <c r="K298" s="336"/>
      <c r="L298" s="337"/>
      <c r="M298" s="350"/>
    </row>
    <row r="299" spans="1:13" ht="13.8">
      <c r="A299" s="334" t="str">
        <f t="shared" si="35"/>
        <v/>
      </c>
      <c r="B299" s="334" t="str">
        <f t="shared" si="36"/>
        <v/>
      </c>
      <c r="C299" s="334" t="str">
        <f t="shared" si="37"/>
        <v/>
      </c>
      <c r="D299" s="334" t="str">
        <f t="shared" si="38"/>
        <v/>
      </c>
      <c r="E299" s="334" t="str">
        <f t="shared" si="39"/>
        <v/>
      </c>
      <c r="F299" s="334" t="str">
        <f t="shared" si="40"/>
        <v/>
      </c>
      <c r="G299" s="334" t="str">
        <f t="shared" si="41"/>
        <v/>
      </c>
      <c r="K299" s="336"/>
      <c r="L299" s="337"/>
      <c r="M299" s="350"/>
    </row>
    <row r="300" spans="1:13" ht="13.8">
      <c r="A300" s="334" t="str">
        <f t="shared" si="35"/>
        <v/>
      </c>
      <c r="B300" s="334" t="str">
        <f t="shared" si="36"/>
        <v/>
      </c>
      <c r="C300" s="334" t="str">
        <f t="shared" si="37"/>
        <v/>
      </c>
      <c r="D300" s="334" t="str">
        <f t="shared" si="38"/>
        <v/>
      </c>
      <c r="E300" s="334" t="str">
        <f t="shared" si="39"/>
        <v/>
      </c>
      <c r="F300" s="334" t="str">
        <f t="shared" si="40"/>
        <v/>
      </c>
      <c r="G300" s="334" t="str">
        <f t="shared" si="41"/>
        <v/>
      </c>
      <c r="K300" s="336"/>
      <c r="L300" s="337"/>
      <c r="M300" s="350"/>
    </row>
    <row r="301" spans="1:13" ht="13.8">
      <c r="A301" s="334" t="str">
        <f t="shared" si="35"/>
        <v/>
      </c>
      <c r="B301" s="334" t="str">
        <f t="shared" si="36"/>
        <v/>
      </c>
      <c r="C301" s="334" t="str">
        <f t="shared" si="37"/>
        <v/>
      </c>
      <c r="D301" s="334" t="str">
        <f t="shared" si="38"/>
        <v/>
      </c>
      <c r="E301" s="334" t="str">
        <f t="shared" si="39"/>
        <v/>
      </c>
      <c r="F301" s="334" t="str">
        <f t="shared" si="40"/>
        <v/>
      </c>
      <c r="G301" s="334" t="str">
        <f t="shared" si="41"/>
        <v/>
      </c>
      <c r="K301" s="336"/>
      <c r="L301" s="337"/>
      <c r="M301" s="350"/>
    </row>
    <row r="302" spans="1:13" ht="13.8">
      <c r="A302" s="334" t="str">
        <f t="shared" si="35"/>
        <v/>
      </c>
      <c r="B302" s="334" t="str">
        <f t="shared" si="36"/>
        <v/>
      </c>
      <c r="C302" s="334" t="str">
        <f t="shared" si="37"/>
        <v/>
      </c>
      <c r="D302" s="334" t="str">
        <f t="shared" si="38"/>
        <v/>
      </c>
      <c r="E302" s="334" t="str">
        <f t="shared" si="39"/>
        <v/>
      </c>
      <c r="F302" s="334" t="str">
        <f t="shared" si="40"/>
        <v/>
      </c>
      <c r="G302" s="334" t="str">
        <f t="shared" si="41"/>
        <v/>
      </c>
      <c r="K302" s="336"/>
      <c r="L302" s="337"/>
      <c r="M302" s="350"/>
    </row>
    <row r="303" spans="1:13" ht="13.8">
      <c r="A303" s="334" t="str">
        <f t="shared" si="35"/>
        <v/>
      </c>
      <c r="B303" s="334" t="str">
        <f t="shared" si="36"/>
        <v/>
      </c>
      <c r="C303" s="334" t="str">
        <f t="shared" si="37"/>
        <v/>
      </c>
      <c r="D303" s="334" t="str">
        <f t="shared" si="38"/>
        <v/>
      </c>
      <c r="E303" s="334" t="str">
        <f t="shared" si="39"/>
        <v/>
      </c>
      <c r="F303" s="334" t="str">
        <f t="shared" si="40"/>
        <v/>
      </c>
      <c r="G303" s="334" t="str">
        <f t="shared" si="41"/>
        <v/>
      </c>
      <c r="K303" s="336"/>
      <c r="L303" s="337"/>
      <c r="M303" s="350"/>
    </row>
    <row r="304" spans="1:13" ht="13.8">
      <c r="A304" s="334" t="str">
        <f t="shared" si="35"/>
        <v/>
      </c>
      <c r="B304" s="334" t="str">
        <f t="shared" si="36"/>
        <v/>
      </c>
      <c r="C304" s="334" t="str">
        <f t="shared" si="37"/>
        <v/>
      </c>
      <c r="D304" s="334" t="str">
        <f t="shared" si="38"/>
        <v/>
      </c>
      <c r="E304" s="334" t="str">
        <f t="shared" si="39"/>
        <v/>
      </c>
      <c r="F304" s="334" t="str">
        <f t="shared" si="40"/>
        <v/>
      </c>
      <c r="G304" s="334" t="str">
        <f t="shared" si="41"/>
        <v/>
      </c>
      <c r="K304" s="336"/>
      <c r="L304" s="337"/>
      <c r="M304" s="350"/>
    </row>
    <row r="305" spans="1:13" ht="13.8">
      <c r="A305" s="334" t="str">
        <f t="shared" si="35"/>
        <v/>
      </c>
      <c r="B305" s="334" t="str">
        <f t="shared" si="36"/>
        <v/>
      </c>
      <c r="C305" s="334" t="str">
        <f t="shared" si="37"/>
        <v/>
      </c>
      <c r="D305" s="334" t="str">
        <f t="shared" si="38"/>
        <v/>
      </c>
      <c r="E305" s="334" t="str">
        <f t="shared" si="39"/>
        <v/>
      </c>
      <c r="F305" s="334" t="str">
        <f t="shared" si="40"/>
        <v/>
      </c>
      <c r="G305" s="334" t="str">
        <f t="shared" si="41"/>
        <v/>
      </c>
      <c r="K305" s="336"/>
      <c r="L305" s="337"/>
      <c r="M305" s="350"/>
    </row>
    <row r="306" spans="1:13" ht="13.8">
      <c r="A306" s="334" t="str">
        <f t="shared" si="35"/>
        <v/>
      </c>
      <c r="B306" s="334" t="str">
        <f t="shared" si="36"/>
        <v/>
      </c>
      <c r="C306" s="334" t="str">
        <f t="shared" si="37"/>
        <v/>
      </c>
      <c r="D306" s="334" t="str">
        <f t="shared" si="38"/>
        <v/>
      </c>
      <c r="E306" s="334" t="str">
        <f t="shared" si="39"/>
        <v/>
      </c>
      <c r="F306" s="334" t="str">
        <f t="shared" si="40"/>
        <v/>
      </c>
      <c r="G306" s="334" t="str">
        <f t="shared" si="41"/>
        <v/>
      </c>
      <c r="K306" s="336"/>
      <c r="L306" s="337"/>
      <c r="M306" s="350"/>
    </row>
    <row r="307" spans="1:13" ht="13.8">
      <c r="A307" s="334" t="str">
        <f t="shared" si="35"/>
        <v/>
      </c>
      <c r="B307" s="334" t="str">
        <f t="shared" si="36"/>
        <v/>
      </c>
      <c r="C307" s="334" t="str">
        <f t="shared" si="37"/>
        <v/>
      </c>
      <c r="D307" s="334" t="str">
        <f t="shared" si="38"/>
        <v/>
      </c>
      <c r="E307" s="334" t="str">
        <f t="shared" si="39"/>
        <v/>
      </c>
      <c r="F307" s="334" t="str">
        <f t="shared" si="40"/>
        <v/>
      </c>
      <c r="G307" s="334" t="str">
        <f t="shared" si="41"/>
        <v/>
      </c>
      <c r="K307" s="336"/>
      <c r="L307" s="337"/>
      <c r="M307" s="350"/>
    </row>
    <row r="308" spans="1:13" ht="13.8">
      <c r="A308" s="334" t="str">
        <f t="shared" si="35"/>
        <v/>
      </c>
      <c r="B308" s="334" t="str">
        <f t="shared" si="36"/>
        <v/>
      </c>
      <c r="C308" s="334" t="str">
        <f t="shared" si="37"/>
        <v/>
      </c>
      <c r="D308" s="334" t="str">
        <f t="shared" si="38"/>
        <v/>
      </c>
      <c r="E308" s="334" t="str">
        <f t="shared" si="39"/>
        <v/>
      </c>
      <c r="F308" s="334" t="str">
        <f t="shared" si="40"/>
        <v/>
      </c>
      <c r="G308" s="334" t="str">
        <f t="shared" si="41"/>
        <v/>
      </c>
      <c r="K308" s="336"/>
      <c r="L308" s="337"/>
      <c r="M308" s="350"/>
    </row>
    <row r="309" spans="1:13" ht="13.8">
      <c r="A309" s="334" t="str">
        <f t="shared" si="35"/>
        <v/>
      </c>
      <c r="B309" s="334" t="str">
        <f t="shared" si="36"/>
        <v/>
      </c>
      <c r="C309" s="334" t="str">
        <f t="shared" si="37"/>
        <v/>
      </c>
      <c r="D309" s="334" t="str">
        <f t="shared" si="38"/>
        <v/>
      </c>
      <c r="E309" s="334" t="str">
        <f t="shared" si="39"/>
        <v/>
      </c>
      <c r="F309" s="334" t="str">
        <f t="shared" si="40"/>
        <v/>
      </c>
      <c r="G309" s="334" t="str">
        <f t="shared" si="41"/>
        <v/>
      </c>
      <c r="K309" s="336"/>
      <c r="L309" s="337"/>
      <c r="M309" s="350"/>
    </row>
    <row r="310" spans="1:13" ht="13.8">
      <c r="A310" s="334" t="str">
        <f t="shared" si="35"/>
        <v/>
      </c>
      <c r="B310" s="334" t="str">
        <f t="shared" si="36"/>
        <v/>
      </c>
      <c r="C310" s="334" t="str">
        <f t="shared" si="37"/>
        <v/>
      </c>
      <c r="D310" s="334" t="str">
        <f t="shared" si="38"/>
        <v/>
      </c>
      <c r="E310" s="334" t="str">
        <f t="shared" si="39"/>
        <v/>
      </c>
      <c r="F310" s="334" t="str">
        <f t="shared" si="40"/>
        <v/>
      </c>
      <c r="G310" s="334" t="str">
        <f t="shared" si="41"/>
        <v/>
      </c>
      <c r="K310" s="336"/>
      <c r="L310" s="337"/>
      <c r="M310" s="350"/>
    </row>
    <row r="311" spans="1:13" ht="13.8">
      <c r="A311" s="334" t="str">
        <f t="shared" si="35"/>
        <v/>
      </c>
      <c r="B311" s="334" t="str">
        <f t="shared" si="36"/>
        <v/>
      </c>
      <c r="C311" s="334" t="str">
        <f t="shared" si="37"/>
        <v/>
      </c>
      <c r="D311" s="334" t="str">
        <f t="shared" si="38"/>
        <v/>
      </c>
      <c r="E311" s="334" t="str">
        <f t="shared" si="39"/>
        <v/>
      </c>
      <c r="F311" s="334" t="str">
        <f t="shared" si="40"/>
        <v/>
      </c>
      <c r="G311" s="334" t="str">
        <f t="shared" si="41"/>
        <v/>
      </c>
      <c r="H311" s="336"/>
      <c r="I311" s="336"/>
      <c r="J311" s="336"/>
      <c r="K311" s="336"/>
      <c r="L311" s="337"/>
      <c r="M311" s="350"/>
    </row>
    <row r="312" spans="1:13" ht="13.8">
      <c r="A312" s="334" t="str">
        <f t="shared" si="35"/>
        <v/>
      </c>
      <c r="B312" s="334" t="str">
        <f t="shared" si="36"/>
        <v/>
      </c>
      <c r="C312" s="334" t="str">
        <f t="shared" si="37"/>
        <v/>
      </c>
      <c r="D312" s="334" t="str">
        <f t="shared" si="38"/>
        <v/>
      </c>
      <c r="E312" s="334" t="str">
        <f t="shared" si="39"/>
        <v/>
      </c>
      <c r="F312" s="334" t="str">
        <f t="shared" si="40"/>
        <v/>
      </c>
      <c r="G312" s="334" t="str">
        <f t="shared" si="41"/>
        <v/>
      </c>
      <c r="H312" s="336"/>
      <c r="I312" s="336"/>
      <c r="J312" s="336"/>
      <c r="K312" s="336"/>
      <c r="L312" s="337"/>
      <c r="M312" s="350"/>
    </row>
    <row r="313" spans="1:13" ht="13.8">
      <c r="A313" s="334" t="str">
        <f t="shared" si="35"/>
        <v/>
      </c>
      <c r="B313" s="334" t="str">
        <f t="shared" si="36"/>
        <v/>
      </c>
      <c r="C313" s="334" t="str">
        <f t="shared" si="37"/>
        <v/>
      </c>
      <c r="D313" s="334" t="str">
        <f t="shared" si="38"/>
        <v/>
      </c>
      <c r="E313" s="334" t="str">
        <f t="shared" si="39"/>
        <v/>
      </c>
      <c r="F313" s="334" t="str">
        <f t="shared" si="40"/>
        <v/>
      </c>
      <c r="G313" s="334" t="str">
        <f t="shared" si="41"/>
        <v/>
      </c>
      <c r="H313" s="336"/>
      <c r="I313" s="336"/>
      <c r="J313" s="336"/>
      <c r="K313" s="336"/>
      <c r="L313" s="337"/>
      <c r="M313" s="350"/>
    </row>
    <row r="314" spans="1:13" ht="13.8">
      <c r="A314" s="334" t="str">
        <f t="shared" si="35"/>
        <v/>
      </c>
      <c r="B314" s="334" t="str">
        <f t="shared" si="36"/>
        <v/>
      </c>
      <c r="C314" s="334" t="str">
        <f t="shared" si="37"/>
        <v/>
      </c>
      <c r="D314" s="334" t="str">
        <f t="shared" si="38"/>
        <v/>
      </c>
      <c r="E314" s="334" t="str">
        <f t="shared" si="39"/>
        <v/>
      </c>
      <c r="F314" s="334" t="str">
        <f t="shared" si="40"/>
        <v/>
      </c>
      <c r="G314" s="334" t="str">
        <f t="shared" si="41"/>
        <v/>
      </c>
      <c r="H314" s="336"/>
      <c r="I314" s="336"/>
      <c r="J314" s="336"/>
      <c r="K314" s="336"/>
      <c r="L314" s="337"/>
      <c r="M314" s="350"/>
    </row>
    <row r="315" spans="1:13" ht="13.8">
      <c r="A315" s="334" t="str">
        <f t="shared" si="35"/>
        <v/>
      </c>
      <c r="B315" s="334" t="str">
        <f t="shared" si="36"/>
        <v/>
      </c>
      <c r="C315" s="334" t="str">
        <f t="shared" si="37"/>
        <v/>
      </c>
      <c r="D315" s="334" t="str">
        <f t="shared" si="38"/>
        <v/>
      </c>
      <c r="E315" s="334" t="str">
        <f t="shared" si="39"/>
        <v/>
      </c>
      <c r="F315" s="334" t="str">
        <f t="shared" si="40"/>
        <v/>
      </c>
      <c r="G315" s="334" t="str">
        <f t="shared" si="41"/>
        <v/>
      </c>
      <c r="H315" s="336"/>
      <c r="I315" s="336"/>
      <c r="J315" s="336"/>
      <c r="K315" s="336"/>
      <c r="L315" s="337"/>
      <c r="M315" s="350"/>
    </row>
    <row r="316" spans="1:13" ht="13.8">
      <c r="A316" s="334" t="str">
        <f t="shared" si="35"/>
        <v/>
      </c>
      <c r="B316" s="334" t="str">
        <f t="shared" si="36"/>
        <v/>
      </c>
      <c r="C316" s="334" t="str">
        <f t="shared" si="37"/>
        <v/>
      </c>
      <c r="D316" s="334" t="str">
        <f t="shared" si="38"/>
        <v/>
      </c>
      <c r="E316" s="334" t="str">
        <f t="shared" si="39"/>
        <v/>
      </c>
      <c r="F316" s="334" t="str">
        <f t="shared" si="40"/>
        <v/>
      </c>
      <c r="G316" s="334" t="str">
        <f t="shared" si="41"/>
        <v/>
      </c>
      <c r="H316" s="336"/>
      <c r="I316" s="336"/>
      <c r="J316" s="336"/>
      <c r="K316" s="336"/>
      <c r="L316" s="337"/>
      <c r="M316" s="350"/>
    </row>
    <row r="317" spans="1:13" ht="13.8">
      <c r="A317" s="334" t="str">
        <f t="shared" si="35"/>
        <v/>
      </c>
      <c r="B317" s="334" t="str">
        <f t="shared" si="36"/>
        <v/>
      </c>
      <c r="C317" s="334" t="str">
        <f t="shared" si="37"/>
        <v/>
      </c>
      <c r="D317" s="334" t="str">
        <f t="shared" si="38"/>
        <v/>
      </c>
      <c r="E317" s="334" t="str">
        <f t="shared" si="39"/>
        <v/>
      </c>
      <c r="F317" s="334" t="str">
        <f t="shared" si="40"/>
        <v/>
      </c>
      <c r="G317" s="334" t="str">
        <f t="shared" si="41"/>
        <v/>
      </c>
      <c r="H317" s="336"/>
      <c r="I317" s="336"/>
      <c r="J317" s="336"/>
      <c r="K317" s="336"/>
      <c r="L317" s="337"/>
      <c r="M317" s="350"/>
    </row>
    <row r="318" spans="1:13" ht="13.8">
      <c r="A318" s="334" t="str">
        <f t="shared" si="35"/>
        <v/>
      </c>
      <c r="B318" s="334" t="str">
        <f t="shared" si="36"/>
        <v/>
      </c>
      <c r="C318" s="334" t="str">
        <f t="shared" si="37"/>
        <v/>
      </c>
      <c r="D318" s="334" t="str">
        <f t="shared" si="38"/>
        <v/>
      </c>
      <c r="E318" s="334" t="str">
        <f t="shared" si="39"/>
        <v/>
      </c>
      <c r="F318" s="334" t="str">
        <f t="shared" si="40"/>
        <v/>
      </c>
      <c r="G318" s="334" t="str">
        <f t="shared" si="41"/>
        <v/>
      </c>
      <c r="H318" s="336"/>
      <c r="I318" s="336"/>
      <c r="J318" s="336"/>
      <c r="K318" s="336"/>
      <c r="L318" s="337"/>
      <c r="M318" s="350"/>
    </row>
    <row r="319" spans="1:13" ht="13.8">
      <c r="A319" s="334" t="str">
        <f t="shared" si="35"/>
        <v/>
      </c>
      <c r="B319" s="334" t="str">
        <f t="shared" si="36"/>
        <v/>
      </c>
      <c r="C319" s="334" t="str">
        <f t="shared" si="37"/>
        <v/>
      </c>
      <c r="D319" s="334" t="str">
        <f t="shared" si="38"/>
        <v/>
      </c>
      <c r="E319" s="334" t="str">
        <f t="shared" si="39"/>
        <v/>
      </c>
      <c r="F319" s="334" t="str">
        <f t="shared" si="40"/>
        <v/>
      </c>
      <c r="G319" s="334" t="str">
        <f t="shared" si="41"/>
        <v/>
      </c>
      <c r="H319" s="336"/>
      <c r="I319" s="336"/>
      <c r="J319" s="336"/>
      <c r="K319" s="336"/>
      <c r="L319" s="337"/>
      <c r="M319" s="350"/>
    </row>
    <row r="320" spans="1:13" ht="13.8">
      <c r="A320" s="334" t="str">
        <f t="shared" ref="A320:A383" si="42">IF(LEN(C320)+LEN(D320)+LEN(E320)+LEN(F320)&gt;0, I320, "")</f>
        <v/>
      </c>
      <c r="B320" s="334" t="str">
        <f t="shared" ref="B320:B383" si="43">IF(LEN(C320)+LEN(D320)+LEN(E320)+LEN(F320)&gt;0, H320, "")</f>
        <v/>
      </c>
      <c r="C320" s="334" t="str">
        <f t="shared" ref="C320:C383" si="44">IF(K320="textfield", G320, "")</f>
        <v/>
      </c>
      <c r="D320" s="334" t="str">
        <f t="shared" ref="D320:D383" si="45">IF(K320="radiobutton",G320,IF(K320="checkbox",G320,IF(K320="dropdown",G320,"")))</f>
        <v/>
      </c>
      <c r="E320" s="334" t="str">
        <f t="shared" ref="E320:E383" si="46">IF(K320="richtextfield", G320, "")</f>
        <v/>
      </c>
      <c r="F320" s="334" t="str">
        <f t="shared" ref="F320:F383" si="47">IF(K320="table", G320, IF(K320="fixed_table",G320,""))</f>
        <v/>
      </c>
      <c r="G320" s="334" t="str">
        <f t="shared" ref="G320:G383" si="48">IFERROR(IF(LEN(M320)=0, "", IF(L320="pct",TEXT(M320,"0.00%"),IF(L320="currency",TEXT(M320,"###0.00"),IF(L320="date", TEXT(M320,"YYYY-MM-DD"), IF(L320="float2", TEXT(M320,"0.00"), M320))))),"")</f>
        <v/>
      </c>
      <c r="H320" s="336"/>
      <c r="I320" s="336"/>
      <c r="J320" s="336"/>
      <c r="K320" s="336"/>
      <c r="L320" s="337"/>
      <c r="M320" s="350"/>
    </row>
    <row r="321" spans="1:13" ht="13.8">
      <c r="A321" s="334" t="str">
        <f t="shared" si="42"/>
        <v/>
      </c>
      <c r="B321" s="334" t="str">
        <f t="shared" si="43"/>
        <v/>
      </c>
      <c r="C321" s="334" t="str">
        <f t="shared" si="44"/>
        <v/>
      </c>
      <c r="D321" s="334" t="str">
        <f t="shared" si="45"/>
        <v/>
      </c>
      <c r="E321" s="334" t="str">
        <f t="shared" si="46"/>
        <v/>
      </c>
      <c r="F321" s="334" t="str">
        <f t="shared" si="47"/>
        <v/>
      </c>
      <c r="G321" s="334" t="str">
        <f t="shared" si="48"/>
        <v/>
      </c>
      <c r="H321" s="336"/>
      <c r="I321" s="336"/>
      <c r="J321" s="336"/>
      <c r="K321" s="336"/>
      <c r="L321" s="337"/>
      <c r="M321" s="350"/>
    </row>
    <row r="322" spans="1:13" ht="13.8">
      <c r="A322" s="334" t="str">
        <f t="shared" si="42"/>
        <v/>
      </c>
      <c r="B322" s="334" t="str">
        <f t="shared" si="43"/>
        <v/>
      </c>
      <c r="C322" s="334" t="str">
        <f t="shared" si="44"/>
        <v/>
      </c>
      <c r="D322" s="334" t="str">
        <f t="shared" si="45"/>
        <v/>
      </c>
      <c r="E322" s="334" t="str">
        <f t="shared" si="46"/>
        <v/>
      </c>
      <c r="F322" s="334" t="str">
        <f t="shared" si="47"/>
        <v/>
      </c>
      <c r="G322" s="334" t="str">
        <f t="shared" si="48"/>
        <v/>
      </c>
      <c r="H322" s="336"/>
      <c r="I322" s="336"/>
      <c r="J322" s="336"/>
      <c r="K322" s="336"/>
      <c r="L322" s="337"/>
      <c r="M322" s="350"/>
    </row>
    <row r="323" spans="1:13" ht="13.8">
      <c r="A323" s="334" t="str">
        <f t="shared" si="42"/>
        <v/>
      </c>
      <c r="B323" s="334" t="str">
        <f t="shared" si="43"/>
        <v/>
      </c>
      <c r="C323" s="334" t="str">
        <f t="shared" si="44"/>
        <v/>
      </c>
      <c r="D323" s="334" t="str">
        <f t="shared" si="45"/>
        <v/>
      </c>
      <c r="E323" s="334" t="str">
        <f t="shared" si="46"/>
        <v/>
      </c>
      <c r="F323" s="334" t="str">
        <f t="shared" si="47"/>
        <v/>
      </c>
      <c r="G323" s="334" t="str">
        <f t="shared" si="48"/>
        <v/>
      </c>
      <c r="H323" s="336"/>
      <c r="I323" s="336"/>
      <c r="J323" s="336"/>
      <c r="K323" s="336"/>
      <c r="L323" s="337"/>
    </row>
    <row r="324" spans="1:13" ht="13.8">
      <c r="A324" s="334" t="str">
        <f t="shared" si="42"/>
        <v/>
      </c>
      <c r="B324" s="334" t="str">
        <f t="shared" si="43"/>
        <v/>
      </c>
      <c r="C324" s="334" t="str">
        <f t="shared" si="44"/>
        <v/>
      </c>
      <c r="D324" s="334" t="str">
        <f t="shared" si="45"/>
        <v/>
      </c>
      <c r="E324" s="334" t="str">
        <f t="shared" si="46"/>
        <v/>
      </c>
      <c r="F324" s="334" t="str">
        <f t="shared" si="47"/>
        <v/>
      </c>
      <c r="G324" s="334" t="str">
        <f t="shared" si="48"/>
        <v/>
      </c>
      <c r="H324" s="336"/>
      <c r="I324" s="336"/>
      <c r="J324" s="336"/>
      <c r="K324" s="336"/>
      <c r="L324" s="337"/>
    </row>
    <row r="325" spans="1:13" ht="13.8">
      <c r="A325" s="334" t="str">
        <f t="shared" si="42"/>
        <v/>
      </c>
      <c r="B325" s="334" t="str">
        <f t="shared" si="43"/>
        <v/>
      </c>
      <c r="C325" s="334" t="str">
        <f t="shared" si="44"/>
        <v/>
      </c>
      <c r="D325" s="334" t="str">
        <f t="shared" si="45"/>
        <v/>
      </c>
      <c r="E325" s="334" t="str">
        <f t="shared" si="46"/>
        <v/>
      </c>
      <c r="F325" s="334" t="str">
        <f t="shared" si="47"/>
        <v/>
      </c>
      <c r="G325" s="334" t="str">
        <f t="shared" si="48"/>
        <v/>
      </c>
      <c r="H325" s="336"/>
      <c r="I325" s="336"/>
      <c r="J325" s="336"/>
      <c r="K325" s="336"/>
      <c r="L325" s="337"/>
    </row>
    <row r="326" spans="1:13" ht="13.8">
      <c r="A326" s="334" t="str">
        <f t="shared" si="42"/>
        <v/>
      </c>
      <c r="B326" s="334" t="str">
        <f t="shared" si="43"/>
        <v/>
      </c>
      <c r="C326" s="334" t="str">
        <f t="shared" si="44"/>
        <v/>
      </c>
      <c r="D326" s="334" t="str">
        <f t="shared" si="45"/>
        <v/>
      </c>
      <c r="E326" s="334" t="str">
        <f t="shared" si="46"/>
        <v/>
      </c>
      <c r="F326" s="334" t="str">
        <f t="shared" si="47"/>
        <v/>
      </c>
      <c r="G326" s="334" t="str">
        <f t="shared" si="48"/>
        <v/>
      </c>
      <c r="H326" s="336"/>
      <c r="I326" s="336"/>
      <c r="J326" s="336"/>
      <c r="K326" s="336"/>
      <c r="L326" s="337"/>
    </row>
    <row r="327" spans="1:13" ht="13.8">
      <c r="A327" s="334" t="str">
        <f t="shared" si="42"/>
        <v/>
      </c>
      <c r="B327" s="334" t="str">
        <f t="shared" si="43"/>
        <v/>
      </c>
      <c r="C327" s="334" t="str">
        <f t="shared" si="44"/>
        <v/>
      </c>
      <c r="D327" s="334" t="str">
        <f t="shared" si="45"/>
        <v/>
      </c>
      <c r="E327" s="334" t="str">
        <f t="shared" si="46"/>
        <v/>
      </c>
      <c r="F327" s="334" t="str">
        <f t="shared" si="47"/>
        <v/>
      </c>
      <c r="G327" s="334" t="str">
        <f t="shared" si="48"/>
        <v/>
      </c>
      <c r="H327" s="336"/>
      <c r="I327" s="336"/>
      <c r="J327" s="336"/>
      <c r="K327" s="336"/>
      <c r="L327" s="337"/>
    </row>
    <row r="328" spans="1:13" ht="13.8">
      <c r="A328" s="334" t="str">
        <f t="shared" si="42"/>
        <v/>
      </c>
      <c r="B328" s="334" t="str">
        <f t="shared" si="43"/>
        <v/>
      </c>
      <c r="C328" s="334" t="str">
        <f t="shared" si="44"/>
        <v/>
      </c>
      <c r="D328" s="334" t="str">
        <f t="shared" si="45"/>
        <v/>
      </c>
      <c r="E328" s="334" t="str">
        <f t="shared" si="46"/>
        <v/>
      </c>
      <c r="F328" s="334" t="str">
        <f t="shared" si="47"/>
        <v/>
      </c>
      <c r="G328" s="334" t="str">
        <f t="shared" si="48"/>
        <v/>
      </c>
      <c r="H328" s="336"/>
      <c r="I328" s="336"/>
      <c r="J328" s="336"/>
      <c r="K328" s="336"/>
      <c r="L328" s="337"/>
    </row>
    <row r="329" spans="1:13" ht="13.8">
      <c r="A329" s="334" t="str">
        <f t="shared" si="42"/>
        <v/>
      </c>
      <c r="B329" s="334" t="str">
        <f t="shared" si="43"/>
        <v/>
      </c>
      <c r="C329" s="334" t="str">
        <f t="shared" si="44"/>
        <v/>
      </c>
      <c r="D329" s="334" t="str">
        <f t="shared" si="45"/>
        <v/>
      </c>
      <c r="E329" s="334" t="str">
        <f t="shared" si="46"/>
        <v/>
      </c>
      <c r="F329" s="334" t="str">
        <f t="shared" si="47"/>
        <v/>
      </c>
      <c r="G329" s="334" t="str">
        <f t="shared" si="48"/>
        <v/>
      </c>
      <c r="H329" s="336"/>
      <c r="I329" s="336"/>
      <c r="J329" s="336"/>
      <c r="K329" s="336"/>
      <c r="L329" s="337"/>
    </row>
    <row r="330" spans="1:13" ht="13.8">
      <c r="A330" s="334" t="str">
        <f t="shared" si="42"/>
        <v/>
      </c>
      <c r="B330" s="334" t="str">
        <f t="shared" si="43"/>
        <v/>
      </c>
      <c r="C330" s="334" t="str">
        <f t="shared" si="44"/>
        <v/>
      </c>
      <c r="D330" s="334" t="str">
        <f t="shared" si="45"/>
        <v/>
      </c>
      <c r="E330" s="334" t="str">
        <f t="shared" si="46"/>
        <v/>
      </c>
      <c r="F330" s="334" t="str">
        <f t="shared" si="47"/>
        <v/>
      </c>
      <c r="G330" s="334" t="str">
        <f t="shared" si="48"/>
        <v/>
      </c>
      <c r="H330" s="336"/>
      <c r="I330" s="336"/>
      <c r="J330" s="336"/>
      <c r="K330" s="336"/>
      <c r="L330" s="337"/>
    </row>
    <row r="331" spans="1:13" ht="13.8">
      <c r="A331" s="334" t="str">
        <f t="shared" si="42"/>
        <v/>
      </c>
      <c r="B331" s="334" t="str">
        <f t="shared" si="43"/>
        <v/>
      </c>
      <c r="C331" s="334" t="str">
        <f t="shared" si="44"/>
        <v/>
      </c>
      <c r="D331" s="334" t="str">
        <f t="shared" si="45"/>
        <v/>
      </c>
      <c r="E331" s="334" t="str">
        <f t="shared" si="46"/>
        <v/>
      </c>
      <c r="F331" s="334" t="str">
        <f t="shared" si="47"/>
        <v/>
      </c>
      <c r="G331" s="334" t="str">
        <f t="shared" si="48"/>
        <v/>
      </c>
      <c r="H331" s="336"/>
      <c r="I331" s="336"/>
      <c r="J331" s="336"/>
      <c r="K331" s="336"/>
      <c r="L331" s="337"/>
    </row>
    <row r="332" spans="1:13" ht="13.8">
      <c r="A332" s="334" t="str">
        <f t="shared" si="42"/>
        <v/>
      </c>
      <c r="B332" s="334" t="str">
        <f t="shared" si="43"/>
        <v/>
      </c>
      <c r="C332" s="334" t="str">
        <f t="shared" si="44"/>
        <v/>
      </c>
      <c r="D332" s="334" t="str">
        <f t="shared" si="45"/>
        <v/>
      </c>
      <c r="E332" s="334" t="str">
        <f t="shared" si="46"/>
        <v/>
      </c>
      <c r="F332" s="334" t="str">
        <f t="shared" si="47"/>
        <v/>
      </c>
      <c r="G332" s="334" t="str">
        <f t="shared" si="48"/>
        <v/>
      </c>
      <c r="H332" s="336"/>
      <c r="I332" s="336"/>
      <c r="J332" s="336"/>
      <c r="K332" s="336"/>
      <c r="L332" s="337"/>
    </row>
    <row r="333" spans="1:13" ht="13.8">
      <c r="A333" s="334" t="str">
        <f t="shared" si="42"/>
        <v/>
      </c>
      <c r="B333" s="334" t="str">
        <f t="shared" si="43"/>
        <v/>
      </c>
      <c r="C333" s="334" t="str">
        <f t="shared" si="44"/>
        <v/>
      </c>
      <c r="D333" s="334" t="str">
        <f t="shared" si="45"/>
        <v/>
      </c>
      <c r="E333" s="334" t="str">
        <f t="shared" si="46"/>
        <v/>
      </c>
      <c r="F333" s="334" t="str">
        <f t="shared" si="47"/>
        <v/>
      </c>
      <c r="G333" s="334" t="str">
        <f t="shared" si="48"/>
        <v/>
      </c>
      <c r="H333" s="336"/>
      <c r="I333" s="336"/>
      <c r="J333" s="336"/>
      <c r="K333" s="336"/>
      <c r="L333" s="337"/>
    </row>
    <row r="334" spans="1:13" ht="13.8">
      <c r="A334" s="334" t="str">
        <f t="shared" si="42"/>
        <v/>
      </c>
      <c r="B334" s="334" t="str">
        <f t="shared" si="43"/>
        <v/>
      </c>
      <c r="C334" s="334" t="str">
        <f t="shared" si="44"/>
        <v/>
      </c>
      <c r="D334" s="334" t="str">
        <f t="shared" si="45"/>
        <v/>
      </c>
      <c r="E334" s="334" t="str">
        <f t="shared" si="46"/>
        <v/>
      </c>
      <c r="F334" s="334" t="str">
        <f t="shared" si="47"/>
        <v/>
      </c>
      <c r="G334" s="334" t="str">
        <f t="shared" si="48"/>
        <v/>
      </c>
      <c r="H334" s="336"/>
      <c r="I334" s="336"/>
      <c r="J334" s="336"/>
      <c r="K334" s="336"/>
      <c r="L334" s="337"/>
    </row>
    <row r="335" spans="1:13" ht="13.8">
      <c r="A335" s="334" t="str">
        <f t="shared" si="42"/>
        <v/>
      </c>
      <c r="B335" s="334" t="str">
        <f t="shared" si="43"/>
        <v/>
      </c>
      <c r="C335" s="334" t="str">
        <f t="shared" si="44"/>
        <v/>
      </c>
      <c r="D335" s="334" t="str">
        <f t="shared" si="45"/>
        <v/>
      </c>
      <c r="E335" s="334" t="str">
        <f t="shared" si="46"/>
        <v/>
      </c>
      <c r="F335" s="334" t="str">
        <f t="shared" si="47"/>
        <v/>
      </c>
      <c r="G335" s="334" t="str">
        <f t="shared" si="48"/>
        <v/>
      </c>
      <c r="H335" s="336"/>
      <c r="I335" s="336"/>
      <c r="J335" s="336"/>
      <c r="K335" s="336"/>
      <c r="L335" s="337"/>
    </row>
    <row r="336" spans="1:13" ht="13.8">
      <c r="A336" s="334" t="str">
        <f t="shared" si="42"/>
        <v/>
      </c>
      <c r="B336" s="334" t="str">
        <f t="shared" si="43"/>
        <v/>
      </c>
      <c r="C336" s="334" t="str">
        <f t="shared" si="44"/>
        <v/>
      </c>
      <c r="D336" s="334" t="str">
        <f t="shared" si="45"/>
        <v/>
      </c>
      <c r="E336" s="334" t="str">
        <f t="shared" si="46"/>
        <v/>
      </c>
      <c r="F336" s="334" t="str">
        <f t="shared" si="47"/>
        <v/>
      </c>
      <c r="G336" s="334" t="str">
        <f t="shared" si="48"/>
        <v/>
      </c>
      <c r="H336" s="336"/>
      <c r="I336" s="336"/>
      <c r="J336" s="336"/>
      <c r="K336" s="336"/>
      <c r="L336" s="337"/>
      <c r="M336" s="350"/>
    </row>
    <row r="337" spans="1:17" ht="13.8">
      <c r="A337" s="334" t="str">
        <f t="shared" si="42"/>
        <v/>
      </c>
      <c r="B337" s="334" t="str">
        <f t="shared" si="43"/>
        <v/>
      </c>
      <c r="C337" s="334" t="str">
        <f t="shared" si="44"/>
        <v/>
      </c>
      <c r="D337" s="334" t="str">
        <f t="shared" si="45"/>
        <v/>
      </c>
      <c r="E337" s="334" t="str">
        <f t="shared" si="46"/>
        <v/>
      </c>
      <c r="F337" s="334" t="str">
        <f t="shared" si="47"/>
        <v/>
      </c>
      <c r="G337" s="334" t="str">
        <f t="shared" si="48"/>
        <v/>
      </c>
      <c r="H337" s="336"/>
      <c r="I337" s="336"/>
      <c r="J337" s="336"/>
      <c r="K337" s="336"/>
      <c r="L337" s="337"/>
      <c r="M337" s="350"/>
    </row>
    <row r="338" spans="1:17" ht="13.8">
      <c r="A338" s="334" t="str">
        <f t="shared" si="42"/>
        <v/>
      </c>
      <c r="B338" s="334" t="str">
        <f t="shared" si="43"/>
        <v/>
      </c>
      <c r="C338" s="334" t="str">
        <f t="shared" si="44"/>
        <v/>
      </c>
      <c r="D338" s="334" t="str">
        <f t="shared" si="45"/>
        <v/>
      </c>
      <c r="E338" s="334" t="str">
        <f t="shared" si="46"/>
        <v/>
      </c>
      <c r="F338" s="334" t="str">
        <f t="shared" si="47"/>
        <v/>
      </c>
      <c r="G338" s="334" t="str">
        <f t="shared" si="48"/>
        <v/>
      </c>
      <c r="H338" s="336"/>
      <c r="I338" s="336"/>
      <c r="J338" s="336"/>
      <c r="K338" s="336"/>
      <c r="L338" s="337"/>
      <c r="M338" s="350"/>
      <c r="O338" s="336"/>
      <c r="P338" s="336"/>
      <c r="Q338" s="336"/>
    </row>
    <row r="339" spans="1:17" ht="13.8">
      <c r="A339" s="334" t="str">
        <f t="shared" si="42"/>
        <v/>
      </c>
      <c r="B339" s="334" t="str">
        <f t="shared" si="43"/>
        <v/>
      </c>
      <c r="C339" s="334" t="str">
        <f t="shared" si="44"/>
        <v/>
      </c>
      <c r="D339" s="334" t="str">
        <f t="shared" si="45"/>
        <v/>
      </c>
      <c r="E339" s="334" t="str">
        <f t="shared" si="46"/>
        <v/>
      </c>
      <c r="F339" s="334" t="str">
        <f t="shared" si="47"/>
        <v/>
      </c>
      <c r="G339" s="334" t="str">
        <f t="shared" si="48"/>
        <v/>
      </c>
      <c r="H339" s="336"/>
      <c r="I339" s="336"/>
      <c r="J339" s="336"/>
      <c r="K339" s="336"/>
      <c r="L339" s="337"/>
      <c r="M339" s="350"/>
      <c r="O339" s="336"/>
      <c r="P339" s="336"/>
      <c r="Q339" s="336"/>
    </row>
    <row r="340" spans="1:17" ht="13.8">
      <c r="A340" s="334" t="str">
        <f t="shared" si="42"/>
        <v/>
      </c>
      <c r="B340" s="334" t="str">
        <f t="shared" si="43"/>
        <v/>
      </c>
      <c r="C340" s="334" t="str">
        <f t="shared" si="44"/>
        <v/>
      </c>
      <c r="D340" s="334" t="str">
        <f t="shared" si="45"/>
        <v/>
      </c>
      <c r="E340" s="334" t="str">
        <f t="shared" si="46"/>
        <v/>
      </c>
      <c r="F340" s="334" t="str">
        <f t="shared" si="47"/>
        <v/>
      </c>
      <c r="G340" s="334" t="str">
        <f t="shared" si="48"/>
        <v/>
      </c>
      <c r="H340" s="336"/>
      <c r="I340" s="336"/>
      <c r="J340" s="336"/>
      <c r="K340" s="336"/>
      <c r="L340" s="337"/>
      <c r="M340" s="350"/>
      <c r="O340" s="336"/>
      <c r="P340" s="336"/>
      <c r="Q340" s="336"/>
    </row>
    <row r="341" spans="1:17" ht="13.8">
      <c r="A341" s="334" t="str">
        <f t="shared" si="42"/>
        <v/>
      </c>
      <c r="B341" s="334" t="str">
        <f t="shared" si="43"/>
        <v/>
      </c>
      <c r="C341" s="334" t="str">
        <f t="shared" si="44"/>
        <v/>
      </c>
      <c r="D341" s="334" t="str">
        <f t="shared" si="45"/>
        <v/>
      </c>
      <c r="E341" s="334" t="str">
        <f t="shared" si="46"/>
        <v/>
      </c>
      <c r="F341" s="334" t="str">
        <f t="shared" si="47"/>
        <v/>
      </c>
      <c r="G341" s="334" t="str">
        <f t="shared" si="48"/>
        <v/>
      </c>
      <c r="H341" s="336"/>
      <c r="I341" s="336"/>
      <c r="J341" s="336"/>
      <c r="K341" s="336"/>
      <c r="L341" s="337"/>
      <c r="M341" s="350"/>
      <c r="O341" s="336"/>
      <c r="P341" s="336"/>
      <c r="Q341" s="336"/>
    </row>
    <row r="342" spans="1:17" ht="13.8">
      <c r="A342" s="334" t="str">
        <f t="shared" si="42"/>
        <v/>
      </c>
      <c r="B342" s="334" t="str">
        <f t="shared" si="43"/>
        <v/>
      </c>
      <c r="C342" s="334" t="str">
        <f t="shared" si="44"/>
        <v/>
      </c>
      <c r="D342" s="334" t="str">
        <f t="shared" si="45"/>
        <v/>
      </c>
      <c r="E342" s="334" t="str">
        <f t="shared" si="46"/>
        <v/>
      </c>
      <c r="F342" s="334" t="str">
        <f t="shared" si="47"/>
        <v/>
      </c>
      <c r="G342" s="334" t="str">
        <f t="shared" si="48"/>
        <v/>
      </c>
      <c r="H342" s="336"/>
      <c r="I342" s="336"/>
      <c r="J342" s="336"/>
      <c r="K342" s="336"/>
      <c r="L342" s="337"/>
      <c r="M342" s="350"/>
      <c r="O342" s="336"/>
      <c r="P342" s="336"/>
      <c r="Q342" s="336"/>
    </row>
    <row r="343" spans="1:17" ht="13.8">
      <c r="A343" s="334" t="str">
        <f t="shared" si="42"/>
        <v/>
      </c>
      <c r="B343" s="334" t="str">
        <f t="shared" si="43"/>
        <v/>
      </c>
      <c r="C343" s="334" t="str">
        <f t="shared" si="44"/>
        <v/>
      </c>
      <c r="D343" s="334" t="str">
        <f t="shared" si="45"/>
        <v/>
      </c>
      <c r="E343" s="334" t="str">
        <f t="shared" si="46"/>
        <v/>
      </c>
      <c r="F343" s="334" t="str">
        <f t="shared" si="47"/>
        <v/>
      </c>
      <c r="G343" s="334" t="str">
        <f t="shared" si="48"/>
        <v/>
      </c>
      <c r="H343" s="336"/>
      <c r="I343" s="336"/>
      <c r="J343" s="336"/>
      <c r="K343" s="336"/>
      <c r="L343" s="337"/>
      <c r="M343" s="350"/>
      <c r="O343" s="336"/>
      <c r="P343" s="336"/>
      <c r="Q343" s="336"/>
    </row>
    <row r="344" spans="1:17" ht="13.8">
      <c r="A344" s="334" t="str">
        <f t="shared" si="42"/>
        <v/>
      </c>
      <c r="B344" s="334" t="str">
        <f t="shared" si="43"/>
        <v/>
      </c>
      <c r="C344" s="334" t="str">
        <f t="shared" si="44"/>
        <v/>
      </c>
      <c r="D344" s="334" t="str">
        <f t="shared" si="45"/>
        <v/>
      </c>
      <c r="E344" s="334" t="str">
        <f t="shared" si="46"/>
        <v/>
      </c>
      <c r="F344" s="334" t="str">
        <f t="shared" si="47"/>
        <v/>
      </c>
      <c r="G344" s="334" t="str">
        <f t="shared" si="48"/>
        <v/>
      </c>
      <c r="H344" s="336"/>
      <c r="I344" s="336"/>
      <c r="J344" s="336"/>
      <c r="K344" s="336"/>
      <c r="L344" s="337"/>
      <c r="M344" s="350"/>
      <c r="O344" s="336"/>
      <c r="P344" s="336"/>
      <c r="Q344" s="336"/>
    </row>
    <row r="345" spans="1:17" ht="13.8">
      <c r="A345" s="334" t="str">
        <f t="shared" si="42"/>
        <v/>
      </c>
      <c r="B345" s="334" t="str">
        <f t="shared" si="43"/>
        <v/>
      </c>
      <c r="C345" s="334" t="str">
        <f t="shared" si="44"/>
        <v/>
      </c>
      <c r="D345" s="334" t="str">
        <f t="shared" si="45"/>
        <v/>
      </c>
      <c r="E345" s="334" t="str">
        <f t="shared" si="46"/>
        <v/>
      </c>
      <c r="F345" s="334" t="str">
        <f t="shared" si="47"/>
        <v/>
      </c>
      <c r="G345" s="334" t="str">
        <f t="shared" si="48"/>
        <v/>
      </c>
      <c r="H345" s="336"/>
      <c r="I345" s="336"/>
      <c r="J345" s="336"/>
      <c r="K345" s="336"/>
      <c r="L345" s="337"/>
      <c r="M345" s="350"/>
      <c r="N345" s="336"/>
      <c r="O345" s="336"/>
      <c r="P345" s="336"/>
      <c r="Q345" s="336"/>
    </row>
    <row r="346" spans="1:17" ht="13.8">
      <c r="A346" s="334" t="str">
        <f t="shared" si="42"/>
        <v/>
      </c>
      <c r="B346" s="334" t="str">
        <f t="shared" si="43"/>
        <v/>
      </c>
      <c r="C346" s="334" t="str">
        <f t="shared" si="44"/>
        <v/>
      </c>
      <c r="D346" s="334" t="str">
        <f t="shared" si="45"/>
        <v/>
      </c>
      <c r="E346" s="334" t="str">
        <f t="shared" si="46"/>
        <v/>
      </c>
      <c r="F346" s="334" t="str">
        <f t="shared" si="47"/>
        <v/>
      </c>
      <c r="G346" s="334" t="str">
        <f t="shared" si="48"/>
        <v/>
      </c>
      <c r="H346" s="336"/>
      <c r="I346" s="336"/>
      <c r="J346" s="336"/>
      <c r="K346" s="336"/>
      <c r="L346" s="337"/>
      <c r="M346" s="350"/>
      <c r="N346" s="336"/>
      <c r="O346" s="336"/>
      <c r="P346" s="336"/>
      <c r="Q346" s="336"/>
    </row>
    <row r="347" spans="1:17" ht="13.8">
      <c r="A347" s="334" t="str">
        <f t="shared" si="42"/>
        <v/>
      </c>
      <c r="B347" s="334" t="str">
        <f t="shared" si="43"/>
        <v/>
      </c>
      <c r="C347" s="334" t="str">
        <f t="shared" si="44"/>
        <v/>
      </c>
      <c r="D347" s="334" t="str">
        <f t="shared" si="45"/>
        <v/>
      </c>
      <c r="E347" s="334" t="str">
        <f t="shared" si="46"/>
        <v/>
      </c>
      <c r="F347" s="334" t="str">
        <f t="shared" si="47"/>
        <v/>
      </c>
      <c r="G347" s="334" t="str">
        <f t="shared" si="48"/>
        <v/>
      </c>
      <c r="H347" s="336"/>
      <c r="I347" s="336"/>
      <c r="J347" s="336"/>
      <c r="K347" s="336"/>
      <c r="L347" s="337"/>
      <c r="M347" s="350"/>
      <c r="N347" s="336"/>
      <c r="O347" s="336"/>
      <c r="P347" s="336"/>
      <c r="Q347" s="336"/>
    </row>
    <row r="348" spans="1:17" ht="13.8">
      <c r="A348" s="334" t="str">
        <f t="shared" si="42"/>
        <v/>
      </c>
      <c r="B348" s="334" t="str">
        <f t="shared" si="43"/>
        <v/>
      </c>
      <c r="C348" s="334" t="str">
        <f t="shared" si="44"/>
        <v/>
      </c>
      <c r="D348" s="334" t="str">
        <f t="shared" si="45"/>
        <v/>
      </c>
      <c r="E348" s="334" t="str">
        <f t="shared" si="46"/>
        <v/>
      </c>
      <c r="F348" s="334" t="str">
        <f t="shared" si="47"/>
        <v/>
      </c>
      <c r="G348" s="334" t="str">
        <f t="shared" si="48"/>
        <v/>
      </c>
      <c r="H348" s="336"/>
      <c r="I348" s="336"/>
      <c r="J348" s="336"/>
      <c r="K348" s="336"/>
      <c r="L348" s="337"/>
      <c r="N348" s="336"/>
      <c r="O348" s="336"/>
      <c r="P348" s="336"/>
      <c r="Q348" s="336"/>
    </row>
    <row r="349" spans="1:17" ht="13.8">
      <c r="A349" s="334" t="str">
        <f t="shared" si="42"/>
        <v/>
      </c>
      <c r="B349" s="334" t="str">
        <f t="shared" si="43"/>
        <v/>
      </c>
      <c r="C349" s="334" t="str">
        <f t="shared" si="44"/>
        <v/>
      </c>
      <c r="D349" s="334" t="str">
        <f t="shared" si="45"/>
        <v/>
      </c>
      <c r="E349" s="334" t="str">
        <f t="shared" si="46"/>
        <v/>
      </c>
      <c r="F349" s="334" t="str">
        <f t="shared" si="47"/>
        <v/>
      </c>
      <c r="G349" s="334" t="str">
        <f t="shared" si="48"/>
        <v/>
      </c>
      <c r="H349" s="336"/>
      <c r="I349" s="336"/>
      <c r="J349" s="336"/>
      <c r="K349" s="336"/>
      <c r="L349" s="337"/>
      <c r="N349" s="336"/>
      <c r="O349" s="336"/>
      <c r="P349" s="336"/>
      <c r="Q349" s="336"/>
    </row>
    <row r="350" spans="1:17" ht="13.8">
      <c r="A350" s="334" t="str">
        <f t="shared" si="42"/>
        <v/>
      </c>
      <c r="B350" s="334" t="str">
        <f t="shared" si="43"/>
        <v/>
      </c>
      <c r="C350" s="334" t="str">
        <f t="shared" si="44"/>
        <v/>
      </c>
      <c r="D350" s="334" t="str">
        <f t="shared" si="45"/>
        <v/>
      </c>
      <c r="E350" s="334" t="str">
        <f t="shared" si="46"/>
        <v/>
      </c>
      <c r="F350" s="334" t="str">
        <f t="shared" si="47"/>
        <v/>
      </c>
      <c r="G350" s="334" t="str">
        <f t="shared" si="48"/>
        <v/>
      </c>
      <c r="H350" s="336"/>
      <c r="I350" s="336"/>
      <c r="J350" s="336"/>
      <c r="K350" s="336"/>
      <c r="L350" s="337"/>
      <c r="N350" s="336"/>
      <c r="O350" s="336"/>
      <c r="P350" s="336"/>
      <c r="Q350" s="336"/>
    </row>
    <row r="351" spans="1:17" ht="13.8">
      <c r="A351" s="334" t="str">
        <f t="shared" si="42"/>
        <v/>
      </c>
      <c r="B351" s="334" t="str">
        <f t="shared" si="43"/>
        <v/>
      </c>
      <c r="C351" s="334" t="str">
        <f t="shared" si="44"/>
        <v/>
      </c>
      <c r="D351" s="334" t="str">
        <f t="shared" si="45"/>
        <v/>
      </c>
      <c r="E351" s="334" t="str">
        <f t="shared" si="46"/>
        <v/>
      </c>
      <c r="F351" s="334" t="str">
        <f t="shared" si="47"/>
        <v/>
      </c>
      <c r="G351" s="334" t="str">
        <f t="shared" si="48"/>
        <v/>
      </c>
      <c r="H351" s="336"/>
      <c r="I351" s="336"/>
      <c r="J351" s="336"/>
      <c r="K351" s="336"/>
      <c r="L351" s="337"/>
      <c r="N351" s="336"/>
      <c r="O351" s="336"/>
    </row>
    <row r="352" spans="1:17" ht="13.8">
      <c r="A352" s="334" t="str">
        <f t="shared" si="42"/>
        <v/>
      </c>
      <c r="B352" s="334" t="str">
        <f t="shared" si="43"/>
        <v/>
      </c>
      <c r="C352" s="334" t="str">
        <f t="shared" si="44"/>
        <v/>
      </c>
      <c r="D352" s="334" t="str">
        <f t="shared" si="45"/>
        <v/>
      </c>
      <c r="E352" s="334" t="str">
        <f t="shared" si="46"/>
        <v/>
      </c>
      <c r="F352" s="334" t="str">
        <f t="shared" si="47"/>
        <v/>
      </c>
      <c r="G352" s="334" t="str">
        <f t="shared" si="48"/>
        <v/>
      </c>
      <c r="H352" s="336"/>
      <c r="I352" s="336"/>
      <c r="J352" s="336"/>
      <c r="K352" s="336"/>
      <c r="L352" s="337"/>
      <c r="N352" s="336"/>
      <c r="O352" s="336"/>
    </row>
    <row r="353" spans="1:15" ht="13.8">
      <c r="A353" s="334" t="str">
        <f t="shared" si="42"/>
        <v/>
      </c>
      <c r="B353" s="334" t="str">
        <f t="shared" si="43"/>
        <v/>
      </c>
      <c r="C353" s="334" t="str">
        <f t="shared" si="44"/>
        <v/>
      </c>
      <c r="D353" s="334" t="str">
        <f t="shared" si="45"/>
        <v/>
      </c>
      <c r="E353" s="334" t="str">
        <f t="shared" si="46"/>
        <v/>
      </c>
      <c r="F353" s="334" t="str">
        <f t="shared" si="47"/>
        <v/>
      </c>
      <c r="G353" s="334" t="str">
        <f t="shared" si="48"/>
        <v/>
      </c>
      <c r="H353" s="336"/>
      <c r="I353" s="336"/>
      <c r="J353" s="336"/>
      <c r="K353" s="336"/>
      <c r="L353" s="337"/>
      <c r="N353" s="336"/>
      <c r="O353" s="336"/>
    </row>
    <row r="354" spans="1:15" ht="13.8">
      <c r="A354" s="334" t="str">
        <f t="shared" si="42"/>
        <v/>
      </c>
      <c r="B354" s="334" t="str">
        <f t="shared" si="43"/>
        <v/>
      </c>
      <c r="C354" s="334" t="str">
        <f t="shared" si="44"/>
        <v/>
      </c>
      <c r="D354" s="334" t="str">
        <f t="shared" si="45"/>
        <v/>
      </c>
      <c r="E354" s="334" t="str">
        <f t="shared" si="46"/>
        <v/>
      </c>
      <c r="F354" s="334" t="str">
        <f t="shared" si="47"/>
        <v/>
      </c>
      <c r="G354" s="334" t="str">
        <f t="shared" si="48"/>
        <v/>
      </c>
      <c r="H354" s="336"/>
      <c r="I354" s="336"/>
      <c r="J354" s="336"/>
      <c r="K354" s="336"/>
      <c r="L354" s="337"/>
      <c r="N354" s="336"/>
      <c r="O354" s="336"/>
    </row>
    <row r="355" spans="1:15" ht="13.8">
      <c r="A355" s="334" t="str">
        <f t="shared" si="42"/>
        <v/>
      </c>
      <c r="B355" s="334" t="str">
        <f t="shared" si="43"/>
        <v/>
      </c>
      <c r="C355" s="334" t="str">
        <f t="shared" si="44"/>
        <v/>
      </c>
      <c r="D355" s="334" t="str">
        <f t="shared" si="45"/>
        <v/>
      </c>
      <c r="E355" s="334" t="str">
        <f t="shared" si="46"/>
        <v/>
      </c>
      <c r="F355" s="334" t="str">
        <f t="shared" si="47"/>
        <v/>
      </c>
      <c r="G355" s="334" t="str">
        <f t="shared" si="48"/>
        <v/>
      </c>
      <c r="H355" s="336"/>
      <c r="I355" s="336"/>
      <c r="J355" s="336"/>
      <c r="K355" s="336"/>
      <c r="L355" s="337"/>
      <c r="N355" s="336"/>
      <c r="O355" s="336"/>
    </row>
    <row r="356" spans="1:15" ht="13.8">
      <c r="A356" s="334" t="str">
        <f t="shared" si="42"/>
        <v/>
      </c>
      <c r="B356" s="334" t="str">
        <f t="shared" si="43"/>
        <v/>
      </c>
      <c r="C356" s="334" t="str">
        <f t="shared" si="44"/>
        <v/>
      </c>
      <c r="D356" s="334" t="str">
        <f t="shared" si="45"/>
        <v/>
      </c>
      <c r="E356" s="334" t="str">
        <f t="shared" si="46"/>
        <v/>
      </c>
      <c r="F356" s="334" t="str">
        <f t="shared" si="47"/>
        <v/>
      </c>
      <c r="G356" s="334" t="str">
        <f t="shared" si="48"/>
        <v/>
      </c>
      <c r="H356" s="336"/>
      <c r="I356" s="336"/>
      <c r="J356" s="336"/>
      <c r="K356" s="336"/>
      <c r="L356" s="337"/>
      <c r="N356" s="336"/>
      <c r="O356" s="336"/>
    </row>
    <row r="357" spans="1:15" ht="13.8">
      <c r="A357" s="334" t="str">
        <f t="shared" si="42"/>
        <v/>
      </c>
      <c r="B357" s="334" t="str">
        <f t="shared" si="43"/>
        <v/>
      </c>
      <c r="C357" s="334" t="str">
        <f t="shared" si="44"/>
        <v/>
      </c>
      <c r="D357" s="334" t="str">
        <f t="shared" si="45"/>
        <v/>
      </c>
      <c r="E357" s="334" t="str">
        <f t="shared" si="46"/>
        <v/>
      </c>
      <c r="F357" s="334" t="str">
        <f t="shared" si="47"/>
        <v/>
      </c>
      <c r="G357" s="334" t="str">
        <f t="shared" si="48"/>
        <v/>
      </c>
      <c r="H357" s="336"/>
      <c r="I357" s="336"/>
      <c r="J357" s="336"/>
      <c r="K357" s="336"/>
      <c r="L357" s="337"/>
      <c r="O357" s="336"/>
    </row>
    <row r="358" spans="1:15" ht="13.8">
      <c r="A358" s="334" t="str">
        <f t="shared" si="42"/>
        <v/>
      </c>
      <c r="B358" s="334" t="str">
        <f t="shared" si="43"/>
        <v/>
      </c>
      <c r="C358" s="334" t="str">
        <f t="shared" si="44"/>
        <v/>
      </c>
      <c r="D358" s="334" t="str">
        <f t="shared" si="45"/>
        <v/>
      </c>
      <c r="E358" s="334" t="str">
        <f t="shared" si="46"/>
        <v/>
      </c>
      <c r="F358" s="334" t="str">
        <f t="shared" si="47"/>
        <v/>
      </c>
      <c r="G358" s="334" t="str">
        <f t="shared" si="48"/>
        <v/>
      </c>
      <c r="H358" s="336"/>
      <c r="I358" s="336"/>
      <c r="J358" s="336"/>
      <c r="K358" s="336"/>
      <c r="L358" s="337"/>
      <c r="O358" s="336"/>
    </row>
    <row r="359" spans="1:15" ht="13.8">
      <c r="A359" s="334" t="str">
        <f t="shared" si="42"/>
        <v/>
      </c>
      <c r="B359" s="334" t="str">
        <f t="shared" si="43"/>
        <v/>
      </c>
      <c r="C359" s="334" t="str">
        <f t="shared" si="44"/>
        <v/>
      </c>
      <c r="D359" s="334" t="str">
        <f t="shared" si="45"/>
        <v/>
      </c>
      <c r="E359" s="334" t="str">
        <f t="shared" si="46"/>
        <v/>
      </c>
      <c r="F359" s="334" t="str">
        <f t="shared" si="47"/>
        <v/>
      </c>
      <c r="G359" s="334" t="str">
        <f t="shared" si="48"/>
        <v/>
      </c>
      <c r="H359" s="336"/>
      <c r="I359" s="336"/>
      <c r="J359" s="336"/>
      <c r="K359" s="336"/>
      <c r="L359" s="337"/>
      <c r="O359" s="336"/>
    </row>
    <row r="360" spans="1:15" ht="13.8">
      <c r="A360" s="334" t="str">
        <f t="shared" si="42"/>
        <v/>
      </c>
      <c r="B360" s="334" t="str">
        <f t="shared" si="43"/>
        <v/>
      </c>
      <c r="C360" s="334" t="str">
        <f t="shared" si="44"/>
        <v/>
      </c>
      <c r="D360" s="334" t="str">
        <f t="shared" si="45"/>
        <v/>
      </c>
      <c r="E360" s="334" t="str">
        <f t="shared" si="46"/>
        <v/>
      </c>
      <c r="F360" s="334" t="str">
        <f t="shared" si="47"/>
        <v/>
      </c>
      <c r="G360" s="334" t="str">
        <f t="shared" si="48"/>
        <v/>
      </c>
      <c r="H360" s="336"/>
      <c r="I360" s="336"/>
      <c r="J360" s="336"/>
      <c r="K360" s="336"/>
      <c r="L360" s="337"/>
      <c r="O360" s="336"/>
    </row>
    <row r="361" spans="1:15" ht="13.8">
      <c r="A361" s="334" t="str">
        <f t="shared" si="42"/>
        <v/>
      </c>
      <c r="B361" s="334" t="str">
        <f t="shared" si="43"/>
        <v/>
      </c>
      <c r="C361" s="334" t="str">
        <f t="shared" si="44"/>
        <v/>
      </c>
      <c r="D361" s="334" t="str">
        <f t="shared" si="45"/>
        <v/>
      </c>
      <c r="E361" s="334" t="str">
        <f t="shared" si="46"/>
        <v/>
      </c>
      <c r="F361" s="334" t="str">
        <f t="shared" si="47"/>
        <v/>
      </c>
      <c r="G361" s="334" t="str">
        <f t="shared" si="48"/>
        <v/>
      </c>
      <c r="H361" s="336"/>
      <c r="I361" s="336"/>
      <c r="J361" s="336"/>
      <c r="K361" s="336"/>
      <c r="L361" s="337"/>
      <c r="O361" s="336"/>
    </row>
    <row r="362" spans="1:15" ht="13.8">
      <c r="A362" s="334" t="str">
        <f t="shared" si="42"/>
        <v/>
      </c>
      <c r="B362" s="334" t="str">
        <f t="shared" si="43"/>
        <v/>
      </c>
      <c r="C362" s="334" t="str">
        <f t="shared" si="44"/>
        <v/>
      </c>
      <c r="D362" s="334" t="str">
        <f t="shared" si="45"/>
        <v/>
      </c>
      <c r="E362" s="334" t="str">
        <f t="shared" si="46"/>
        <v/>
      </c>
      <c r="F362" s="334" t="str">
        <f t="shared" si="47"/>
        <v/>
      </c>
      <c r="G362" s="334" t="str">
        <f t="shared" si="48"/>
        <v/>
      </c>
      <c r="H362" s="336"/>
      <c r="I362" s="336"/>
      <c r="J362" s="336"/>
      <c r="K362" s="336"/>
      <c r="L362" s="337"/>
      <c r="O362" s="336"/>
    </row>
    <row r="363" spans="1:15" ht="13.8">
      <c r="A363" s="334" t="str">
        <f t="shared" si="42"/>
        <v/>
      </c>
      <c r="B363" s="334" t="str">
        <f t="shared" si="43"/>
        <v/>
      </c>
      <c r="C363" s="334" t="str">
        <f t="shared" si="44"/>
        <v/>
      </c>
      <c r="D363" s="334" t="str">
        <f t="shared" si="45"/>
        <v/>
      </c>
      <c r="E363" s="334" t="str">
        <f t="shared" si="46"/>
        <v/>
      </c>
      <c r="F363" s="334" t="str">
        <f t="shared" si="47"/>
        <v/>
      </c>
      <c r="G363" s="334" t="str">
        <f t="shared" si="48"/>
        <v/>
      </c>
      <c r="H363" s="336"/>
      <c r="I363" s="336"/>
      <c r="J363" s="336"/>
      <c r="K363" s="336"/>
      <c r="L363" s="337"/>
    </row>
    <row r="364" spans="1:15" ht="13.8">
      <c r="A364" s="334" t="str">
        <f t="shared" si="42"/>
        <v/>
      </c>
      <c r="B364" s="334" t="str">
        <f t="shared" si="43"/>
        <v/>
      </c>
      <c r="C364" s="334" t="str">
        <f t="shared" si="44"/>
        <v/>
      </c>
      <c r="D364" s="334" t="str">
        <f t="shared" si="45"/>
        <v/>
      </c>
      <c r="E364" s="334" t="str">
        <f t="shared" si="46"/>
        <v/>
      </c>
      <c r="F364" s="334" t="str">
        <f t="shared" si="47"/>
        <v/>
      </c>
      <c r="G364" s="334" t="str">
        <f t="shared" si="48"/>
        <v/>
      </c>
      <c r="H364" s="336"/>
      <c r="I364" s="336"/>
      <c r="J364" s="336"/>
      <c r="K364" s="336"/>
      <c r="L364" s="337"/>
    </row>
    <row r="365" spans="1:15" ht="13.8">
      <c r="A365" s="334" t="str">
        <f t="shared" si="42"/>
        <v/>
      </c>
      <c r="B365" s="334" t="str">
        <f t="shared" si="43"/>
        <v/>
      </c>
      <c r="C365" s="334" t="str">
        <f t="shared" si="44"/>
        <v/>
      </c>
      <c r="D365" s="334" t="str">
        <f t="shared" si="45"/>
        <v/>
      </c>
      <c r="E365" s="334" t="str">
        <f t="shared" si="46"/>
        <v/>
      </c>
      <c r="F365" s="334" t="str">
        <f t="shared" si="47"/>
        <v/>
      </c>
      <c r="G365" s="334" t="str">
        <f t="shared" si="48"/>
        <v/>
      </c>
      <c r="H365" s="336"/>
      <c r="I365" s="336"/>
      <c r="J365" s="336"/>
      <c r="K365" s="336"/>
      <c r="L365" s="337"/>
    </row>
    <row r="366" spans="1:15" ht="13.8">
      <c r="A366" s="334" t="str">
        <f t="shared" si="42"/>
        <v/>
      </c>
      <c r="B366" s="334" t="str">
        <f t="shared" si="43"/>
        <v/>
      </c>
      <c r="C366" s="334" t="str">
        <f t="shared" si="44"/>
        <v/>
      </c>
      <c r="D366" s="334" t="str">
        <f t="shared" si="45"/>
        <v/>
      </c>
      <c r="E366" s="334" t="str">
        <f t="shared" si="46"/>
        <v/>
      </c>
      <c r="F366" s="334" t="str">
        <f t="shared" si="47"/>
        <v/>
      </c>
      <c r="G366" s="334" t="str">
        <f t="shared" si="48"/>
        <v/>
      </c>
      <c r="H366" s="336"/>
      <c r="I366" s="336"/>
      <c r="J366" s="336"/>
      <c r="K366" s="336"/>
      <c r="L366" s="337"/>
    </row>
    <row r="367" spans="1:15" ht="13.8">
      <c r="A367" s="334" t="str">
        <f t="shared" si="42"/>
        <v/>
      </c>
      <c r="B367" s="334" t="str">
        <f t="shared" si="43"/>
        <v/>
      </c>
      <c r="C367" s="334" t="str">
        <f t="shared" si="44"/>
        <v/>
      </c>
      <c r="D367" s="334" t="str">
        <f t="shared" si="45"/>
        <v/>
      </c>
      <c r="E367" s="334" t="str">
        <f t="shared" si="46"/>
        <v/>
      </c>
      <c r="F367" s="334" t="str">
        <f t="shared" si="47"/>
        <v/>
      </c>
      <c r="G367" s="334" t="str">
        <f t="shared" si="48"/>
        <v/>
      </c>
      <c r="H367" s="336"/>
      <c r="I367" s="336"/>
      <c r="J367" s="336"/>
      <c r="K367" s="336"/>
      <c r="L367" s="337"/>
    </row>
    <row r="368" spans="1:15" ht="13.8">
      <c r="A368" s="334" t="str">
        <f t="shared" si="42"/>
        <v/>
      </c>
      <c r="B368" s="334" t="str">
        <f t="shared" si="43"/>
        <v/>
      </c>
      <c r="C368" s="334" t="str">
        <f t="shared" si="44"/>
        <v/>
      </c>
      <c r="D368" s="334" t="str">
        <f t="shared" si="45"/>
        <v/>
      </c>
      <c r="E368" s="334" t="str">
        <f t="shared" si="46"/>
        <v/>
      </c>
      <c r="F368" s="334" t="str">
        <f t="shared" si="47"/>
        <v/>
      </c>
      <c r="G368" s="334" t="str">
        <f t="shared" si="48"/>
        <v/>
      </c>
      <c r="H368" s="336"/>
      <c r="I368" s="336"/>
      <c r="J368" s="336"/>
      <c r="K368" s="336"/>
      <c r="L368" s="337"/>
    </row>
    <row r="369" spans="1:12" ht="13.8">
      <c r="A369" s="334" t="str">
        <f t="shared" si="42"/>
        <v/>
      </c>
      <c r="B369" s="334" t="str">
        <f t="shared" si="43"/>
        <v/>
      </c>
      <c r="C369" s="334" t="str">
        <f t="shared" si="44"/>
        <v/>
      </c>
      <c r="D369" s="334" t="str">
        <f t="shared" si="45"/>
        <v/>
      </c>
      <c r="E369" s="334" t="str">
        <f t="shared" si="46"/>
        <v/>
      </c>
      <c r="F369" s="334" t="str">
        <f t="shared" si="47"/>
        <v/>
      </c>
      <c r="G369" s="334" t="str">
        <f t="shared" si="48"/>
        <v/>
      </c>
      <c r="H369" s="336"/>
      <c r="I369" s="336"/>
      <c r="J369" s="336"/>
      <c r="K369" s="336"/>
      <c r="L369" s="337"/>
    </row>
    <row r="370" spans="1:12" ht="13.8">
      <c r="A370" s="334" t="str">
        <f t="shared" si="42"/>
        <v/>
      </c>
      <c r="B370" s="334" t="str">
        <f t="shared" si="43"/>
        <v/>
      </c>
      <c r="C370" s="334" t="str">
        <f t="shared" si="44"/>
        <v/>
      </c>
      <c r="D370" s="334" t="str">
        <f t="shared" si="45"/>
        <v/>
      </c>
      <c r="E370" s="334" t="str">
        <f t="shared" si="46"/>
        <v/>
      </c>
      <c r="F370" s="334" t="str">
        <f t="shared" si="47"/>
        <v/>
      </c>
      <c r="G370" s="334" t="str">
        <f t="shared" si="48"/>
        <v/>
      </c>
      <c r="H370" s="336"/>
      <c r="I370" s="336"/>
      <c r="J370" s="336"/>
      <c r="K370" s="336"/>
      <c r="L370" s="337"/>
    </row>
    <row r="371" spans="1:12" ht="13.8">
      <c r="A371" s="334" t="str">
        <f t="shared" si="42"/>
        <v/>
      </c>
      <c r="B371" s="334" t="str">
        <f t="shared" si="43"/>
        <v/>
      </c>
      <c r="C371" s="334" t="str">
        <f t="shared" si="44"/>
        <v/>
      </c>
      <c r="D371" s="334" t="str">
        <f t="shared" si="45"/>
        <v/>
      </c>
      <c r="E371" s="334" t="str">
        <f t="shared" si="46"/>
        <v/>
      </c>
      <c r="F371" s="334" t="str">
        <f t="shared" si="47"/>
        <v/>
      </c>
      <c r="G371" s="334" t="str">
        <f t="shared" si="48"/>
        <v/>
      </c>
      <c r="H371" s="336"/>
      <c r="I371" s="336"/>
      <c r="J371" s="336"/>
      <c r="K371" s="336"/>
      <c r="L371" s="337"/>
    </row>
    <row r="372" spans="1:12" ht="13.8">
      <c r="A372" s="334" t="str">
        <f t="shared" si="42"/>
        <v/>
      </c>
      <c r="B372" s="334" t="str">
        <f t="shared" si="43"/>
        <v/>
      </c>
      <c r="C372" s="334" t="str">
        <f t="shared" si="44"/>
        <v/>
      </c>
      <c r="D372" s="334" t="str">
        <f t="shared" si="45"/>
        <v/>
      </c>
      <c r="E372" s="334" t="str">
        <f t="shared" si="46"/>
        <v/>
      </c>
      <c r="F372" s="334" t="str">
        <f t="shared" si="47"/>
        <v/>
      </c>
      <c r="G372" s="334" t="str">
        <f t="shared" si="48"/>
        <v/>
      </c>
      <c r="H372" s="336"/>
      <c r="I372" s="336"/>
      <c r="J372" s="336"/>
      <c r="K372" s="336"/>
      <c r="L372" s="337"/>
    </row>
    <row r="373" spans="1:12" ht="13.8">
      <c r="A373" s="334" t="str">
        <f t="shared" si="42"/>
        <v/>
      </c>
      <c r="B373" s="334" t="str">
        <f t="shared" si="43"/>
        <v/>
      </c>
      <c r="C373" s="334" t="str">
        <f t="shared" si="44"/>
        <v/>
      </c>
      <c r="D373" s="334" t="str">
        <f t="shared" si="45"/>
        <v/>
      </c>
      <c r="E373" s="334" t="str">
        <f t="shared" si="46"/>
        <v/>
      </c>
      <c r="F373" s="334" t="str">
        <f t="shared" si="47"/>
        <v/>
      </c>
      <c r="G373" s="334" t="str">
        <f t="shared" si="48"/>
        <v/>
      </c>
      <c r="H373" s="336"/>
      <c r="I373" s="336"/>
      <c r="J373" s="336"/>
      <c r="K373" s="336"/>
      <c r="L373" s="337"/>
    </row>
    <row r="374" spans="1:12" ht="13.8">
      <c r="A374" s="334" t="str">
        <f t="shared" si="42"/>
        <v/>
      </c>
      <c r="B374" s="334" t="str">
        <f t="shared" si="43"/>
        <v/>
      </c>
      <c r="C374" s="334" t="str">
        <f t="shared" si="44"/>
        <v/>
      </c>
      <c r="D374" s="334" t="str">
        <f t="shared" si="45"/>
        <v/>
      </c>
      <c r="E374" s="334" t="str">
        <f t="shared" si="46"/>
        <v/>
      </c>
      <c r="F374" s="334" t="str">
        <f t="shared" si="47"/>
        <v/>
      </c>
      <c r="G374" s="334" t="str">
        <f t="shared" si="48"/>
        <v/>
      </c>
      <c r="H374" s="336"/>
      <c r="I374" s="336"/>
      <c r="J374" s="336"/>
      <c r="K374" s="336"/>
      <c r="L374" s="337"/>
    </row>
    <row r="375" spans="1:12" ht="13.8">
      <c r="A375" s="334" t="str">
        <f t="shared" si="42"/>
        <v/>
      </c>
      <c r="B375" s="334" t="str">
        <f t="shared" si="43"/>
        <v/>
      </c>
      <c r="C375" s="334" t="str">
        <f t="shared" si="44"/>
        <v/>
      </c>
      <c r="D375" s="334" t="str">
        <f t="shared" si="45"/>
        <v/>
      </c>
      <c r="E375" s="334" t="str">
        <f t="shared" si="46"/>
        <v/>
      </c>
      <c r="F375" s="334" t="str">
        <f t="shared" si="47"/>
        <v/>
      </c>
      <c r="G375" s="334" t="str">
        <f t="shared" si="48"/>
        <v/>
      </c>
      <c r="H375" s="336"/>
      <c r="I375" s="336"/>
      <c r="J375" s="336"/>
      <c r="K375" s="336"/>
      <c r="L375" s="337"/>
    </row>
    <row r="376" spans="1:12" ht="13.8">
      <c r="A376" s="334" t="str">
        <f t="shared" si="42"/>
        <v/>
      </c>
      <c r="B376" s="334" t="str">
        <f t="shared" si="43"/>
        <v/>
      </c>
      <c r="C376" s="334" t="str">
        <f t="shared" si="44"/>
        <v/>
      </c>
      <c r="D376" s="334" t="str">
        <f t="shared" si="45"/>
        <v/>
      </c>
      <c r="E376" s="334" t="str">
        <f t="shared" si="46"/>
        <v/>
      </c>
      <c r="F376" s="334" t="str">
        <f t="shared" si="47"/>
        <v/>
      </c>
      <c r="G376" s="334" t="str">
        <f t="shared" si="48"/>
        <v/>
      </c>
      <c r="H376" s="336"/>
      <c r="I376" s="336"/>
      <c r="J376" s="336"/>
      <c r="K376" s="336"/>
      <c r="L376" s="337"/>
    </row>
    <row r="377" spans="1:12" ht="13.8">
      <c r="A377" s="334" t="str">
        <f t="shared" si="42"/>
        <v/>
      </c>
      <c r="B377" s="334" t="str">
        <f t="shared" si="43"/>
        <v/>
      </c>
      <c r="C377" s="334" t="str">
        <f t="shared" si="44"/>
        <v/>
      </c>
      <c r="D377" s="334" t="str">
        <f t="shared" si="45"/>
        <v/>
      </c>
      <c r="E377" s="334" t="str">
        <f t="shared" si="46"/>
        <v/>
      </c>
      <c r="F377" s="334" t="str">
        <f t="shared" si="47"/>
        <v/>
      </c>
      <c r="G377" s="334" t="str">
        <f t="shared" si="48"/>
        <v/>
      </c>
      <c r="H377" s="336"/>
      <c r="I377" s="336"/>
      <c r="J377" s="336"/>
      <c r="K377" s="336"/>
      <c r="L377" s="337"/>
    </row>
    <row r="378" spans="1:12" ht="13.8">
      <c r="A378" s="334" t="str">
        <f t="shared" si="42"/>
        <v/>
      </c>
      <c r="B378" s="334" t="str">
        <f t="shared" si="43"/>
        <v/>
      </c>
      <c r="C378" s="334" t="str">
        <f t="shared" si="44"/>
        <v/>
      </c>
      <c r="D378" s="334" t="str">
        <f t="shared" si="45"/>
        <v/>
      </c>
      <c r="E378" s="334" t="str">
        <f t="shared" si="46"/>
        <v/>
      </c>
      <c r="F378" s="334" t="str">
        <f t="shared" si="47"/>
        <v/>
      </c>
      <c r="G378" s="334" t="str">
        <f t="shared" si="48"/>
        <v/>
      </c>
      <c r="H378" s="336"/>
      <c r="I378" s="336"/>
      <c r="J378" s="336"/>
      <c r="K378" s="336"/>
      <c r="L378" s="337"/>
    </row>
    <row r="379" spans="1:12" ht="13.8">
      <c r="A379" s="334" t="str">
        <f t="shared" si="42"/>
        <v/>
      </c>
      <c r="B379" s="334" t="str">
        <f t="shared" si="43"/>
        <v/>
      </c>
      <c r="C379" s="334" t="str">
        <f t="shared" si="44"/>
        <v/>
      </c>
      <c r="D379" s="334" t="str">
        <f t="shared" si="45"/>
        <v/>
      </c>
      <c r="E379" s="334" t="str">
        <f t="shared" si="46"/>
        <v/>
      </c>
      <c r="F379" s="334" t="str">
        <f t="shared" si="47"/>
        <v/>
      </c>
      <c r="G379" s="334" t="str">
        <f t="shared" si="48"/>
        <v/>
      </c>
      <c r="H379" s="336"/>
      <c r="I379" s="336"/>
      <c r="J379" s="336"/>
      <c r="K379" s="336"/>
      <c r="L379" s="337"/>
    </row>
    <row r="380" spans="1:12" ht="13.8">
      <c r="A380" s="334" t="str">
        <f t="shared" si="42"/>
        <v/>
      </c>
      <c r="B380" s="334" t="str">
        <f t="shared" si="43"/>
        <v/>
      </c>
      <c r="C380" s="334" t="str">
        <f t="shared" si="44"/>
        <v/>
      </c>
      <c r="D380" s="334" t="str">
        <f t="shared" si="45"/>
        <v/>
      </c>
      <c r="E380" s="334" t="str">
        <f t="shared" si="46"/>
        <v/>
      </c>
      <c r="F380" s="334" t="str">
        <f t="shared" si="47"/>
        <v/>
      </c>
      <c r="G380" s="334" t="str">
        <f t="shared" si="48"/>
        <v/>
      </c>
      <c r="H380" s="336"/>
      <c r="I380" s="336"/>
      <c r="J380" s="336"/>
      <c r="K380" s="336"/>
      <c r="L380" s="337"/>
    </row>
    <row r="381" spans="1:12" ht="13.8">
      <c r="A381" s="334" t="str">
        <f t="shared" si="42"/>
        <v/>
      </c>
      <c r="B381" s="334" t="str">
        <f t="shared" si="43"/>
        <v/>
      </c>
      <c r="C381" s="334" t="str">
        <f t="shared" si="44"/>
        <v/>
      </c>
      <c r="D381" s="334" t="str">
        <f t="shared" si="45"/>
        <v/>
      </c>
      <c r="E381" s="334" t="str">
        <f t="shared" si="46"/>
        <v/>
      </c>
      <c r="F381" s="334" t="str">
        <f t="shared" si="47"/>
        <v/>
      </c>
      <c r="G381" s="334" t="str">
        <f t="shared" si="48"/>
        <v/>
      </c>
      <c r="H381" s="336"/>
      <c r="I381" s="336"/>
      <c r="J381" s="336"/>
      <c r="K381" s="336"/>
      <c r="L381" s="337"/>
    </row>
    <row r="382" spans="1:12" ht="13.8">
      <c r="A382" s="334" t="str">
        <f t="shared" si="42"/>
        <v/>
      </c>
      <c r="B382" s="334" t="str">
        <f t="shared" si="43"/>
        <v/>
      </c>
      <c r="C382" s="334" t="str">
        <f t="shared" si="44"/>
        <v/>
      </c>
      <c r="D382" s="334" t="str">
        <f t="shared" si="45"/>
        <v/>
      </c>
      <c r="E382" s="334" t="str">
        <f t="shared" si="46"/>
        <v/>
      </c>
      <c r="F382" s="334" t="str">
        <f t="shared" si="47"/>
        <v/>
      </c>
      <c r="G382" s="334" t="str">
        <f t="shared" si="48"/>
        <v/>
      </c>
      <c r="H382" s="336"/>
      <c r="I382" s="336"/>
      <c r="J382" s="336"/>
      <c r="K382" s="336"/>
      <c r="L382" s="337"/>
    </row>
    <row r="383" spans="1:12" ht="13.8">
      <c r="A383" s="334" t="str">
        <f t="shared" si="42"/>
        <v/>
      </c>
      <c r="B383" s="334" t="str">
        <f t="shared" si="43"/>
        <v/>
      </c>
      <c r="C383" s="334" t="str">
        <f t="shared" si="44"/>
        <v/>
      </c>
      <c r="D383" s="334" t="str">
        <f t="shared" si="45"/>
        <v/>
      </c>
      <c r="E383" s="334" t="str">
        <f t="shared" si="46"/>
        <v/>
      </c>
      <c r="F383" s="334" t="str">
        <f t="shared" si="47"/>
        <v/>
      </c>
      <c r="G383" s="334" t="str">
        <f t="shared" si="48"/>
        <v/>
      </c>
      <c r="H383" s="336"/>
      <c r="I383" s="336"/>
      <c r="J383" s="336"/>
      <c r="K383" s="336"/>
      <c r="L383" s="337"/>
    </row>
    <row r="384" spans="1:12" ht="13.8">
      <c r="A384" s="334" t="str">
        <f t="shared" ref="A384:A444" si="49">IF(LEN(C384)+LEN(D384)+LEN(E384)+LEN(F384)&gt;0, I384, "")</f>
        <v/>
      </c>
      <c r="B384" s="334" t="str">
        <f t="shared" ref="B384:B444" si="50">IF(LEN(C384)+LEN(D384)+LEN(E384)+LEN(F384)&gt;0, H384, "")</f>
        <v/>
      </c>
      <c r="C384" s="334" t="str">
        <f t="shared" ref="C384:C444" si="51">IF(K384="textfield", G384, "")</f>
        <v/>
      </c>
      <c r="D384" s="334" t="str">
        <f t="shared" ref="D384:D444" si="52">IF(K384="radiobutton",G384,IF(K384="checkbox",G384,IF(K384="dropdown",G384,"")))</f>
        <v/>
      </c>
      <c r="E384" s="334" t="str">
        <f t="shared" ref="E384:E444" si="53">IF(K384="richtextfield", G384, "")</f>
        <v/>
      </c>
      <c r="F384" s="334" t="str">
        <f t="shared" ref="F384:F444" si="54">IF(K384="table", G384, IF(K384="fixed_table",G384,""))</f>
        <v/>
      </c>
      <c r="G384" s="334" t="str">
        <f t="shared" ref="G384:G444" si="55">IFERROR(IF(LEN(M384)=0, "", IF(L384="pct",TEXT(M384,"0.00%"),IF(L384="currency",TEXT(M384,"###0.00"),IF(L384="date", TEXT(M384,"YYYY-MM-DD"), IF(L384="float2", TEXT(M384,"0.00"), M384))))),"")</f>
        <v/>
      </c>
      <c r="H384" s="336"/>
      <c r="I384" s="336"/>
      <c r="J384" s="336"/>
      <c r="K384" s="336"/>
      <c r="L384" s="337"/>
    </row>
    <row r="385" spans="1:12" ht="13.8">
      <c r="A385" s="334" t="str">
        <f t="shared" si="49"/>
        <v/>
      </c>
      <c r="B385" s="334" t="str">
        <f t="shared" si="50"/>
        <v/>
      </c>
      <c r="C385" s="334" t="str">
        <f t="shared" si="51"/>
        <v/>
      </c>
      <c r="D385" s="334" t="str">
        <f t="shared" si="52"/>
        <v/>
      </c>
      <c r="E385" s="334" t="str">
        <f t="shared" si="53"/>
        <v/>
      </c>
      <c r="F385" s="334" t="str">
        <f t="shared" si="54"/>
        <v/>
      </c>
      <c r="G385" s="334" t="str">
        <f t="shared" si="55"/>
        <v/>
      </c>
      <c r="H385" s="336"/>
      <c r="I385" s="336"/>
      <c r="J385" s="336"/>
      <c r="K385" s="336"/>
      <c r="L385" s="337"/>
    </row>
    <row r="386" spans="1:12" ht="13.8">
      <c r="A386" s="334" t="str">
        <f t="shared" si="49"/>
        <v/>
      </c>
      <c r="B386" s="334" t="str">
        <f t="shared" si="50"/>
        <v/>
      </c>
      <c r="C386" s="334" t="str">
        <f t="shared" si="51"/>
        <v/>
      </c>
      <c r="D386" s="334" t="str">
        <f t="shared" si="52"/>
        <v/>
      </c>
      <c r="E386" s="334" t="str">
        <f t="shared" si="53"/>
        <v/>
      </c>
      <c r="F386" s="334" t="str">
        <f t="shared" si="54"/>
        <v/>
      </c>
      <c r="G386" s="334" t="str">
        <f t="shared" si="55"/>
        <v/>
      </c>
      <c r="H386" s="336"/>
      <c r="I386" s="336"/>
      <c r="J386" s="336"/>
      <c r="K386" s="336"/>
      <c r="L386" s="337"/>
    </row>
    <row r="387" spans="1:12" ht="13.8">
      <c r="A387" s="334" t="str">
        <f t="shared" si="49"/>
        <v/>
      </c>
      <c r="B387" s="334" t="str">
        <f t="shared" si="50"/>
        <v/>
      </c>
      <c r="C387" s="334" t="str">
        <f t="shared" si="51"/>
        <v/>
      </c>
      <c r="D387" s="334" t="str">
        <f t="shared" si="52"/>
        <v/>
      </c>
      <c r="E387" s="334" t="str">
        <f t="shared" si="53"/>
        <v/>
      </c>
      <c r="F387" s="334" t="str">
        <f t="shared" si="54"/>
        <v/>
      </c>
      <c r="G387" s="334" t="str">
        <f t="shared" si="55"/>
        <v/>
      </c>
      <c r="H387" s="336"/>
      <c r="I387" s="336"/>
      <c r="J387" s="336"/>
      <c r="K387" s="336"/>
      <c r="L387" s="337"/>
    </row>
    <row r="388" spans="1:12" ht="13.8">
      <c r="A388" s="334" t="str">
        <f t="shared" si="49"/>
        <v/>
      </c>
      <c r="B388" s="334" t="str">
        <f t="shared" si="50"/>
        <v/>
      </c>
      <c r="C388" s="334" t="str">
        <f t="shared" si="51"/>
        <v/>
      </c>
      <c r="D388" s="334" t="str">
        <f t="shared" si="52"/>
        <v/>
      </c>
      <c r="E388" s="334" t="str">
        <f t="shared" si="53"/>
        <v/>
      </c>
      <c r="F388" s="334" t="str">
        <f t="shared" si="54"/>
        <v/>
      </c>
      <c r="G388" s="334" t="str">
        <f t="shared" si="55"/>
        <v/>
      </c>
      <c r="H388" s="336"/>
      <c r="I388" s="336"/>
      <c r="J388" s="336"/>
      <c r="K388" s="336"/>
      <c r="L388" s="337"/>
    </row>
    <row r="389" spans="1:12" ht="13.8">
      <c r="A389" s="334" t="str">
        <f t="shared" si="49"/>
        <v/>
      </c>
      <c r="B389" s="334" t="str">
        <f t="shared" si="50"/>
        <v/>
      </c>
      <c r="C389" s="334" t="str">
        <f t="shared" si="51"/>
        <v/>
      </c>
      <c r="D389" s="334" t="str">
        <f t="shared" si="52"/>
        <v/>
      </c>
      <c r="E389" s="334" t="str">
        <f t="shared" si="53"/>
        <v/>
      </c>
      <c r="F389" s="334" t="str">
        <f t="shared" si="54"/>
        <v/>
      </c>
      <c r="G389" s="334" t="str">
        <f t="shared" si="55"/>
        <v/>
      </c>
      <c r="H389" s="336"/>
      <c r="I389" s="336"/>
      <c r="J389" s="336"/>
      <c r="K389" s="336"/>
      <c r="L389" s="337"/>
    </row>
    <row r="390" spans="1:12" ht="13.8">
      <c r="A390" s="334" t="str">
        <f t="shared" si="49"/>
        <v/>
      </c>
      <c r="B390" s="334" t="str">
        <f t="shared" si="50"/>
        <v/>
      </c>
      <c r="C390" s="334" t="str">
        <f t="shared" si="51"/>
        <v/>
      </c>
      <c r="D390" s="334" t="str">
        <f t="shared" si="52"/>
        <v/>
      </c>
      <c r="E390" s="334" t="str">
        <f t="shared" si="53"/>
        <v/>
      </c>
      <c r="F390" s="334" t="str">
        <f t="shared" si="54"/>
        <v/>
      </c>
      <c r="G390" s="334" t="str">
        <f t="shared" si="55"/>
        <v/>
      </c>
      <c r="H390" s="336"/>
      <c r="I390" s="336"/>
      <c r="J390" s="336"/>
      <c r="K390" s="336"/>
      <c r="L390" s="337"/>
    </row>
    <row r="391" spans="1:12" ht="13.8">
      <c r="A391" s="334" t="str">
        <f t="shared" si="49"/>
        <v/>
      </c>
      <c r="B391" s="334" t="str">
        <f t="shared" si="50"/>
        <v/>
      </c>
      <c r="C391" s="334" t="str">
        <f t="shared" si="51"/>
        <v/>
      </c>
      <c r="D391" s="334" t="str">
        <f t="shared" si="52"/>
        <v/>
      </c>
      <c r="E391" s="334" t="str">
        <f t="shared" si="53"/>
        <v/>
      </c>
      <c r="F391" s="334" t="str">
        <f t="shared" si="54"/>
        <v/>
      </c>
      <c r="G391" s="334" t="str">
        <f t="shared" si="55"/>
        <v/>
      </c>
      <c r="H391" s="336"/>
      <c r="I391" s="336"/>
      <c r="J391" s="336"/>
      <c r="K391" s="336"/>
      <c r="L391" s="337"/>
    </row>
    <row r="392" spans="1:12" ht="13.8">
      <c r="A392" s="334" t="str">
        <f t="shared" si="49"/>
        <v/>
      </c>
      <c r="B392" s="334" t="str">
        <f t="shared" si="50"/>
        <v/>
      </c>
      <c r="C392" s="334" t="str">
        <f t="shared" si="51"/>
        <v/>
      </c>
      <c r="D392" s="334" t="str">
        <f t="shared" si="52"/>
        <v/>
      </c>
      <c r="E392" s="334" t="str">
        <f t="shared" si="53"/>
        <v/>
      </c>
      <c r="F392" s="334" t="str">
        <f t="shared" si="54"/>
        <v/>
      </c>
      <c r="G392" s="334" t="str">
        <f t="shared" si="55"/>
        <v/>
      </c>
      <c r="H392" s="336"/>
      <c r="I392" s="336"/>
      <c r="J392" s="336"/>
      <c r="K392" s="336"/>
      <c r="L392" s="337"/>
    </row>
    <row r="393" spans="1:12" ht="13.8">
      <c r="A393" s="334" t="str">
        <f t="shared" si="49"/>
        <v/>
      </c>
      <c r="B393" s="334" t="str">
        <f t="shared" si="50"/>
        <v/>
      </c>
      <c r="C393" s="334" t="str">
        <f t="shared" si="51"/>
        <v/>
      </c>
      <c r="D393" s="334" t="str">
        <f t="shared" si="52"/>
        <v/>
      </c>
      <c r="E393" s="334" t="str">
        <f t="shared" si="53"/>
        <v/>
      </c>
      <c r="F393" s="334" t="str">
        <f t="shared" si="54"/>
        <v/>
      </c>
      <c r="G393" s="334" t="str">
        <f t="shared" si="55"/>
        <v/>
      </c>
      <c r="H393" s="336"/>
      <c r="I393" s="336"/>
      <c r="J393" s="336"/>
      <c r="K393" s="336"/>
      <c r="L393" s="337"/>
    </row>
    <row r="394" spans="1:12" ht="13.8">
      <c r="A394" s="334" t="str">
        <f t="shared" si="49"/>
        <v/>
      </c>
      <c r="B394" s="334" t="str">
        <f t="shared" si="50"/>
        <v/>
      </c>
      <c r="C394" s="334" t="str">
        <f t="shared" si="51"/>
        <v/>
      </c>
      <c r="D394" s="334" t="str">
        <f t="shared" si="52"/>
        <v/>
      </c>
      <c r="E394" s="334" t="str">
        <f t="shared" si="53"/>
        <v/>
      </c>
      <c r="F394" s="334" t="str">
        <f t="shared" si="54"/>
        <v/>
      </c>
      <c r="G394" s="334" t="str">
        <f t="shared" si="55"/>
        <v/>
      </c>
      <c r="H394" s="336"/>
      <c r="I394" s="336"/>
      <c r="J394" s="336"/>
      <c r="K394" s="336"/>
      <c r="L394" s="337"/>
    </row>
    <row r="395" spans="1:12" ht="13.8">
      <c r="A395" s="334" t="str">
        <f t="shared" si="49"/>
        <v/>
      </c>
      <c r="B395" s="334" t="str">
        <f t="shared" si="50"/>
        <v/>
      </c>
      <c r="C395" s="334" t="str">
        <f t="shared" si="51"/>
        <v/>
      </c>
      <c r="D395" s="334" t="str">
        <f t="shared" si="52"/>
        <v/>
      </c>
      <c r="E395" s="334" t="str">
        <f t="shared" si="53"/>
        <v/>
      </c>
      <c r="F395" s="334" t="str">
        <f t="shared" si="54"/>
        <v/>
      </c>
      <c r="G395" s="334" t="str">
        <f t="shared" si="55"/>
        <v/>
      </c>
      <c r="H395" s="336"/>
      <c r="I395" s="336"/>
      <c r="J395" s="336"/>
      <c r="K395" s="336"/>
      <c r="L395" s="337"/>
    </row>
    <row r="396" spans="1:12" ht="13.8">
      <c r="A396" s="334" t="str">
        <f t="shared" si="49"/>
        <v/>
      </c>
      <c r="B396" s="334" t="str">
        <f t="shared" si="50"/>
        <v/>
      </c>
      <c r="C396" s="334" t="str">
        <f t="shared" si="51"/>
        <v/>
      </c>
      <c r="D396" s="334" t="str">
        <f t="shared" si="52"/>
        <v/>
      </c>
      <c r="E396" s="334" t="str">
        <f t="shared" si="53"/>
        <v/>
      </c>
      <c r="F396" s="334" t="str">
        <f t="shared" si="54"/>
        <v/>
      </c>
      <c r="G396" s="334" t="str">
        <f t="shared" si="55"/>
        <v/>
      </c>
      <c r="H396" s="336"/>
      <c r="I396" s="336"/>
      <c r="J396" s="336"/>
      <c r="K396" s="336"/>
      <c r="L396" s="337"/>
    </row>
    <row r="397" spans="1:12" ht="13.8">
      <c r="A397" s="334" t="str">
        <f t="shared" si="49"/>
        <v/>
      </c>
      <c r="B397" s="334" t="str">
        <f t="shared" si="50"/>
        <v/>
      </c>
      <c r="C397" s="334" t="str">
        <f t="shared" si="51"/>
        <v/>
      </c>
      <c r="D397" s="334" t="str">
        <f t="shared" si="52"/>
        <v/>
      </c>
      <c r="E397" s="334" t="str">
        <f t="shared" si="53"/>
        <v/>
      </c>
      <c r="F397" s="334" t="str">
        <f t="shared" si="54"/>
        <v/>
      </c>
      <c r="G397" s="334" t="str">
        <f t="shared" si="55"/>
        <v/>
      </c>
      <c r="H397" s="336"/>
      <c r="I397" s="336"/>
      <c r="J397" s="336"/>
      <c r="K397" s="336"/>
      <c r="L397" s="337"/>
    </row>
    <row r="398" spans="1:12" ht="13.8">
      <c r="A398" s="334" t="str">
        <f t="shared" si="49"/>
        <v/>
      </c>
      <c r="B398" s="334" t="str">
        <f t="shared" si="50"/>
        <v/>
      </c>
      <c r="C398" s="334" t="str">
        <f t="shared" si="51"/>
        <v/>
      </c>
      <c r="D398" s="334" t="str">
        <f t="shared" si="52"/>
        <v/>
      </c>
      <c r="E398" s="334" t="str">
        <f t="shared" si="53"/>
        <v/>
      </c>
      <c r="F398" s="334" t="str">
        <f t="shared" si="54"/>
        <v/>
      </c>
      <c r="G398" s="334" t="str">
        <f t="shared" si="55"/>
        <v/>
      </c>
      <c r="H398" s="336"/>
      <c r="I398" s="336"/>
      <c r="J398" s="336"/>
      <c r="K398" s="336"/>
      <c r="L398" s="337"/>
    </row>
    <row r="399" spans="1:12" ht="13.8">
      <c r="A399" s="334" t="str">
        <f t="shared" si="49"/>
        <v/>
      </c>
      <c r="B399" s="334" t="str">
        <f t="shared" si="50"/>
        <v/>
      </c>
      <c r="C399" s="334" t="str">
        <f t="shared" si="51"/>
        <v/>
      </c>
      <c r="D399" s="334" t="str">
        <f t="shared" si="52"/>
        <v/>
      </c>
      <c r="E399" s="334" t="str">
        <f t="shared" si="53"/>
        <v/>
      </c>
      <c r="F399" s="334" t="str">
        <f t="shared" si="54"/>
        <v/>
      </c>
      <c r="G399" s="334" t="str">
        <f t="shared" si="55"/>
        <v/>
      </c>
      <c r="H399" s="336"/>
      <c r="I399" s="336"/>
      <c r="J399" s="336"/>
      <c r="K399" s="336"/>
      <c r="L399" s="337"/>
    </row>
    <row r="400" spans="1:12" ht="13.8">
      <c r="A400" s="334" t="str">
        <f t="shared" si="49"/>
        <v/>
      </c>
      <c r="B400" s="334" t="str">
        <f t="shared" si="50"/>
        <v/>
      </c>
      <c r="C400" s="334" t="str">
        <f t="shared" si="51"/>
        <v/>
      </c>
      <c r="D400" s="334" t="str">
        <f t="shared" si="52"/>
        <v/>
      </c>
      <c r="E400" s="334" t="str">
        <f t="shared" si="53"/>
        <v/>
      </c>
      <c r="F400" s="334" t="str">
        <f t="shared" si="54"/>
        <v/>
      </c>
      <c r="G400" s="334" t="str">
        <f t="shared" si="55"/>
        <v/>
      </c>
      <c r="H400" s="336"/>
      <c r="I400" s="336"/>
      <c r="J400" s="336"/>
      <c r="K400" s="336"/>
      <c r="L400" s="337"/>
    </row>
    <row r="401" spans="1:12" ht="13.8">
      <c r="A401" s="334" t="str">
        <f t="shared" si="49"/>
        <v/>
      </c>
      <c r="B401" s="334" t="str">
        <f t="shared" si="50"/>
        <v/>
      </c>
      <c r="C401" s="334" t="str">
        <f t="shared" si="51"/>
        <v/>
      </c>
      <c r="D401" s="334" t="str">
        <f t="shared" si="52"/>
        <v/>
      </c>
      <c r="E401" s="334" t="str">
        <f t="shared" si="53"/>
        <v/>
      </c>
      <c r="F401" s="334" t="str">
        <f t="shared" si="54"/>
        <v/>
      </c>
      <c r="G401" s="334" t="str">
        <f t="shared" si="55"/>
        <v/>
      </c>
      <c r="H401" s="336"/>
      <c r="I401" s="336"/>
      <c r="J401" s="336"/>
      <c r="K401" s="336"/>
      <c r="L401" s="337"/>
    </row>
    <row r="402" spans="1:12" ht="13.8">
      <c r="A402" s="334" t="str">
        <f t="shared" si="49"/>
        <v/>
      </c>
      <c r="B402" s="334" t="str">
        <f t="shared" si="50"/>
        <v/>
      </c>
      <c r="C402" s="334" t="str">
        <f t="shared" si="51"/>
        <v/>
      </c>
      <c r="D402" s="334" t="str">
        <f t="shared" si="52"/>
        <v/>
      </c>
      <c r="E402" s="334" t="str">
        <f t="shared" si="53"/>
        <v/>
      </c>
      <c r="F402" s="334" t="str">
        <f t="shared" si="54"/>
        <v/>
      </c>
      <c r="G402" s="334" t="str">
        <f t="shared" si="55"/>
        <v/>
      </c>
      <c r="H402" s="336"/>
      <c r="I402" s="336"/>
      <c r="J402" s="336"/>
      <c r="K402" s="336"/>
      <c r="L402" s="337"/>
    </row>
    <row r="403" spans="1:12" ht="13.8">
      <c r="A403" s="334" t="str">
        <f t="shared" si="49"/>
        <v/>
      </c>
      <c r="B403" s="334" t="str">
        <f t="shared" si="50"/>
        <v/>
      </c>
      <c r="C403" s="334" t="str">
        <f t="shared" si="51"/>
        <v/>
      </c>
      <c r="D403" s="334" t="str">
        <f t="shared" si="52"/>
        <v/>
      </c>
      <c r="E403" s="334" t="str">
        <f t="shared" si="53"/>
        <v/>
      </c>
      <c r="F403" s="334" t="str">
        <f t="shared" si="54"/>
        <v/>
      </c>
      <c r="G403" s="334" t="str">
        <f t="shared" si="55"/>
        <v/>
      </c>
      <c r="H403" s="336"/>
      <c r="I403" s="336"/>
      <c r="J403" s="336"/>
      <c r="K403" s="336"/>
      <c r="L403" s="337"/>
    </row>
    <row r="404" spans="1:12" ht="13.8">
      <c r="A404" s="334" t="str">
        <f t="shared" si="49"/>
        <v/>
      </c>
      <c r="B404" s="334" t="str">
        <f t="shared" si="50"/>
        <v/>
      </c>
      <c r="C404" s="334" t="str">
        <f t="shared" si="51"/>
        <v/>
      </c>
      <c r="D404" s="334" t="str">
        <f t="shared" si="52"/>
        <v/>
      </c>
      <c r="E404" s="334" t="str">
        <f t="shared" si="53"/>
        <v/>
      </c>
      <c r="F404" s="334" t="str">
        <f t="shared" si="54"/>
        <v/>
      </c>
      <c r="G404" s="334" t="str">
        <f t="shared" si="55"/>
        <v/>
      </c>
      <c r="H404" s="336"/>
      <c r="I404" s="336"/>
      <c r="J404" s="336"/>
      <c r="K404" s="336"/>
      <c r="L404" s="337"/>
    </row>
    <row r="405" spans="1:12" ht="13.8">
      <c r="A405" s="334" t="str">
        <f t="shared" si="49"/>
        <v/>
      </c>
      <c r="B405" s="334" t="str">
        <f t="shared" si="50"/>
        <v/>
      </c>
      <c r="C405" s="334" t="str">
        <f t="shared" si="51"/>
        <v/>
      </c>
      <c r="D405" s="334" t="str">
        <f t="shared" si="52"/>
        <v/>
      </c>
      <c r="E405" s="334" t="str">
        <f t="shared" si="53"/>
        <v/>
      </c>
      <c r="F405" s="334" t="str">
        <f t="shared" si="54"/>
        <v/>
      </c>
      <c r="G405" s="334" t="str">
        <f t="shared" si="55"/>
        <v/>
      </c>
      <c r="H405" s="336"/>
      <c r="I405" s="336"/>
      <c r="J405" s="336"/>
      <c r="K405" s="336"/>
      <c r="L405" s="337"/>
    </row>
    <row r="406" spans="1:12" ht="13.8">
      <c r="A406" s="334" t="str">
        <f t="shared" si="49"/>
        <v/>
      </c>
      <c r="B406" s="334" t="str">
        <f t="shared" si="50"/>
        <v/>
      </c>
      <c r="C406" s="334" t="str">
        <f t="shared" si="51"/>
        <v/>
      </c>
      <c r="D406" s="334" t="str">
        <f t="shared" si="52"/>
        <v/>
      </c>
      <c r="E406" s="334" t="str">
        <f t="shared" si="53"/>
        <v/>
      </c>
      <c r="F406" s="334" t="str">
        <f t="shared" si="54"/>
        <v/>
      </c>
      <c r="G406" s="334" t="str">
        <f t="shared" si="55"/>
        <v/>
      </c>
      <c r="H406" s="336"/>
      <c r="I406" s="336"/>
      <c r="J406" s="336"/>
      <c r="K406" s="336"/>
      <c r="L406" s="337"/>
    </row>
    <row r="407" spans="1:12" ht="13.8">
      <c r="A407" s="334" t="str">
        <f t="shared" si="49"/>
        <v/>
      </c>
      <c r="B407" s="334" t="str">
        <f t="shared" si="50"/>
        <v/>
      </c>
      <c r="C407" s="334" t="str">
        <f t="shared" si="51"/>
        <v/>
      </c>
      <c r="D407" s="334" t="str">
        <f t="shared" si="52"/>
        <v/>
      </c>
      <c r="E407" s="334" t="str">
        <f t="shared" si="53"/>
        <v/>
      </c>
      <c r="F407" s="334" t="str">
        <f t="shared" si="54"/>
        <v/>
      </c>
      <c r="G407" s="334" t="str">
        <f t="shared" si="55"/>
        <v/>
      </c>
      <c r="H407" s="336"/>
      <c r="I407" s="336"/>
      <c r="J407" s="336"/>
      <c r="K407" s="336"/>
      <c r="L407" s="337"/>
    </row>
    <row r="408" spans="1:12" ht="13.8">
      <c r="A408" s="334" t="str">
        <f t="shared" si="49"/>
        <v/>
      </c>
      <c r="B408" s="334" t="str">
        <f t="shared" si="50"/>
        <v/>
      </c>
      <c r="C408" s="334" t="str">
        <f t="shared" si="51"/>
        <v/>
      </c>
      <c r="D408" s="334" t="str">
        <f t="shared" si="52"/>
        <v/>
      </c>
      <c r="E408" s="334" t="str">
        <f t="shared" si="53"/>
        <v/>
      </c>
      <c r="F408" s="334" t="str">
        <f t="shared" si="54"/>
        <v/>
      </c>
      <c r="G408" s="334" t="str">
        <f t="shared" si="55"/>
        <v/>
      </c>
      <c r="H408" s="336"/>
      <c r="I408" s="336"/>
      <c r="J408" s="336"/>
      <c r="K408" s="336"/>
      <c r="L408" s="337"/>
    </row>
    <row r="409" spans="1:12" ht="13.8">
      <c r="A409" s="334" t="str">
        <f t="shared" si="49"/>
        <v/>
      </c>
      <c r="B409" s="334" t="str">
        <f t="shared" si="50"/>
        <v/>
      </c>
      <c r="C409" s="334" t="str">
        <f t="shared" si="51"/>
        <v/>
      </c>
      <c r="D409" s="334" t="str">
        <f t="shared" si="52"/>
        <v/>
      </c>
      <c r="E409" s="334" t="str">
        <f t="shared" si="53"/>
        <v/>
      </c>
      <c r="F409" s="334" t="str">
        <f t="shared" si="54"/>
        <v/>
      </c>
      <c r="G409" s="334" t="str">
        <f t="shared" si="55"/>
        <v/>
      </c>
      <c r="H409" s="336"/>
      <c r="I409" s="336"/>
      <c r="J409" s="336"/>
      <c r="K409" s="336"/>
      <c r="L409" s="337"/>
    </row>
    <row r="410" spans="1:12" ht="13.8">
      <c r="A410" s="334" t="str">
        <f t="shared" si="49"/>
        <v/>
      </c>
      <c r="B410" s="334" t="str">
        <f t="shared" si="50"/>
        <v/>
      </c>
      <c r="C410" s="334" t="str">
        <f t="shared" si="51"/>
        <v/>
      </c>
      <c r="D410" s="334" t="str">
        <f t="shared" si="52"/>
        <v/>
      </c>
      <c r="E410" s="334" t="str">
        <f t="shared" si="53"/>
        <v/>
      </c>
      <c r="F410" s="334" t="str">
        <f t="shared" si="54"/>
        <v/>
      </c>
      <c r="G410" s="334" t="str">
        <f t="shared" si="55"/>
        <v/>
      </c>
      <c r="H410" s="336"/>
      <c r="I410" s="336"/>
      <c r="J410" s="336"/>
      <c r="K410" s="336"/>
      <c r="L410" s="337"/>
    </row>
    <row r="411" spans="1:12" ht="13.8">
      <c r="A411" s="334" t="str">
        <f t="shared" si="49"/>
        <v/>
      </c>
      <c r="B411" s="334" t="str">
        <f t="shared" si="50"/>
        <v/>
      </c>
      <c r="C411" s="334" t="str">
        <f t="shared" si="51"/>
        <v/>
      </c>
      <c r="D411" s="334" t="str">
        <f t="shared" si="52"/>
        <v/>
      </c>
      <c r="E411" s="334" t="str">
        <f t="shared" si="53"/>
        <v/>
      </c>
      <c r="F411" s="334" t="str">
        <f t="shared" si="54"/>
        <v/>
      </c>
      <c r="G411" s="334" t="str">
        <f t="shared" si="55"/>
        <v/>
      </c>
      <c r="H411" s="336"/>
      <c r="I411" s="336"/>
      <c r="J411" s="336"/>
      <c r="K411" s="336"/>
      <c r="L411" s="337"/>
    </row>
    <row r="412" spans="1:12" ht="13.8">
      <c r="A412" s="334" t="str">
        <f t="shared" si="49"/>
        <v/>
      </c>
      <c r="B412" s="334" t="str">
        <f t="shared" si="50"/>
        <v/>
      </c>
      <c r="C412" s="334" t="str">
        <f t="shared" si="51"/>
        <v/>
      </c>
      <c r="D412" s="334" t="str">
        <f t="shared" si="52"/>
        <v/>
      </c>
      <c r="E412" s="334" t="str">
        <f t="shared" si="53"/>
        <v/>
      </c>
      <c r="F412" s="334" t="str">
        <f t="shared" si="54"/>
        <v/>
      </c>
      <c r="G412" s="334" t="str">
        <f t="shared" si="55"/>
        <v/>
      </c>
      <c r="H412" s="336"/>
      <c r="I412" s="336"/>
      <c r="J412" s="336"/>
      <c r="K412" s="336"/>
      <c r="L412" s="337"/>
    </row>
    <row r="413" spans="1:12" ht="13.8">
      <c r="A413" s="334" t="str">
        <f t="shared" si="49"/>
        <v/>
      </c>
      <c r="B413" s="334" t="str">
        <f t="shared" si="50"/>
        <v/>
      </c>
      <c r="C413" s="334" t="str">
        <f t="shared" si="51"/>
        <v/>
      </c>
      <c r="D413" s="334" t="str">
        <f t="shared" si="52"/>
        <v/>
      </c>
      <c r="E413" s="334" t="str">
        <f t="shared" si="53"/>
        <v/>
      </c>
      <c r="F413" s="334" t="str">
        <f t="shared" si="54"/>
        <v/>
      </c>
      <c r="G413" s="334" t="str">
        <f t="shared" si="55"/>
        <v/>
      </c>
      <c r="H413" s="336"/>
      <c r="I413" s="336"/>
      <c r="J413" s="336"/>
      <c r="K413" s="336"/>
      <c r="L413" s="337"/>
    </row>
    <row r="414" spans="1:12" ht="13.8">
      <c r="A414" s="334" t="str">
        <f t="shared" si="49"/>
        <v/>
      </c>
      <c r="B414" s="334" t="str">
        <f t="shared" si="50"/>
        <v/>
      </c>
      <c r="C414" s="334" t="str">
        <f t="shared" si="51"/>
        <v/>
      </c>
      <c r="D414" s="334" t="str">
        <f t="shared" si="52"/>
        <v/>
      </c>
      <c r="E414" s="334" t="str">
        <f t="shared" si="53"/>
        <v/>
      </c>
      <c r="F414" s="334" t="str">
        <f t="shared" si="54"/>
        <v/>
      </c>
      <c r="G414" s="334" t="str">
        <f t="shared" si="55"/>
        <v/>
      </c>
      <c r="H414" s="336"/>
      <c r="I414" s="336"/>
      <c r="J414" s="336"/>
      <c r="K414" s="336"/>
      <c r="L414" s="337"/>
    </row>
    <row r="415" spans="1:12" ht="13.8">
      <c r="A415" s="334" t="str">
        <f t="shared" si="49"/>
        <v/>
      </c>
      <c r="B415" s="334" t="str">
        <f t="shared" si="50"/>
        <v/>
      </c>
      <c r="C415" s="334" t="str">
        <f t="shared" si="51"/>
        <v/>
      </c>
      <c r="D415" s="334" t="str">
        <f t="shared" si="52"/>
        <v/>
      </c>
      <c r="E415" s="334" t="str">
        <f t="shared" si="53"/>
        <v/>
      </c>
      <c r="F415" s="334" t="str">
        <f t="shared" si="54"/>
        <v/>
      </c>
      <c r="G415" s="334" t="str">
        <f t="shared" si="55"/>
        <v/>
      </c>
      <c r="H415" s="336"/>
      <c r="I415" s="336"/>
      <c r="J415" s="336"/>
      <c r="K415" s="336"/>
      <c r="L415" s="337"/>
    </row>
    <row r="416" spans="1:12" ht="13.8">
      <c r="A416" s="334" t="str">
        <f t="shared" si="49"/>
        <v/>
      </c>
      <c r="B416" s="334" t="str">
        <f t="shared" si="50"/>
        <v/>
      </c>
      <c r="C416" s="334" t="str">
        <f t="shared" si="51"/>
        <v/>
      </c>
      <c r="D416" s="334" t="str">
        <f t="shared" si="52"/>
        <v/>
      </c>
      <c r="E416" s="334" t="str">
        <f t="shared" si="53"/>
        <v/>
      </c>
      <c r="F416" s="334" t="str">
        <f t="shared" si="54"/>
        <v/>
      </c>
      <c r="G416" s="334" t="str">
        <f t="shared" si="55"/>
        <v/>
      </c>
      <c r="H416" s="336"/>
      <c r="I416" s="336"/>
      <c r="J416" s="336"/>
      <c r="K416" s="336"/>
      <c r="L416" s="337"/>
    </row>
    <row r="417" spans="1:12" ht="13.8">
      <c r="A417" s="334" t="str">
        <f t="shared" si="49"/>
        <v/>
      </c>
      <c r="B417" s="334" t="str">
        <f t="shared" si="50"/>
        <v/>
      </c>
      <c r="C417" s="334" t="str">
        <f t="shared" si="51"/>
        <v/>
      </c>
      <c r="D417" s="334" t="str">
        <f t="shared" si="52"/>
        <v/>
      </c>
      <c r="E417" s="334" t="str">
        <f t="shared" si="53"/>
        <v/>
      </c>
      <c r="F417" s="334" t="str">
        <f t="shared" si="54"/>
        <v/>
      </c>
      <c r="G417" s="334" t="str">
        <f t="shared" si="55"/>
        <v/>
      </c>
      <c r="H417" s="336"/>
      <c r="I417" s="336"/>
      <c r="J417" s="336"/>
      <c r="K417" s="336"/>
      <c r="L417" s="337"/>
    </row>
    <row r="418" spans="1:12" ht="13.8">
      <c r="A418" s="334" t="str">
        <f t="shared" si="49"/>
        <v/>
      </c>
      <c r="B418" s="334" t="str">
        <f t="shared" si="50"/>
        <v/>
      </c>
      <c r="C418" s="334" t="str">
        <f t="shared" si="51"/>
        <v/>
      </c>
      <c r="D418" s="334" t="str">
        <f t="shared" si="52"/>
        <v/>
      </c>
      <c r="E418" s="334" t="str">
        <f t="shared" si="53"/>
        <v/>
      </c>
      <c r="F418" s="334" t="str">
        <f t="shared" si="54"/>
        <v/>
      </c>
      <c r="G418" s="334" t="str">
        <f t="shared" si="55"/>
        <v/>
      </c>
      <c r="H418" s="336"/>
      <c r="I418" s="336"/>
      <c r="J418" s="336"/>
      <c r="K418" s="336"/>
      <c r="L418" s="337"/>
    </row>
    <row r="419" spans="1:12" ht="13.8">
      <c r="A419" s="334" t="str">
        <f t="shared" si="49"/>
        <v/>
      </c>
      <c r="B419" s="334" t="str">
        <f t="shared" si="50"/>
        <v/>
      </c>
      <c r="C419" s="334" t="str">
        <f t="shared" si="51"/>
        <v/>
      </c>
      <c r="D419" s="334" t="str">
        <f t="shared" si="52"/>
        <v/>
      </c>
      <c r="E419" s="334" t="str">
        <f t="shared" si="53"/>
        <v/>
      </c>
      <c r="F419" s="334" t="str">
        <f t="shared" si="54"/>
        <v/>
      </c>
      <c r="G419" s="334" t="str">
        <f t="shared" si="55"/>
        <v/>
      </c>
      <c r="H419" s="336"/>
      <c r="I419" s="336"/>
      <c r="J419" s="336"/>
      <c r="K419" s="336"/>
      <c r="L419" s="337"/>
    </row>
    <row r="420" spans="1:12" ht="13.8">
      <c r="A420" s="334" t="str">
        <f t="shared" si="49"/>
        <v/>
      </c>
      <c r="B420" s="334" t="str">
        <f t="shared" si="50"/>
        <v/>
      </c>
      <c r="C420" s="334" t="str">
        <f t="shared" si="51"/>
        <v/>
      </c>
      <c r="D420" s="334" t="str">
        <f t="shared" si="52"/>
        <v/>
      </c>
      <c r="E420" s="334" t="str">
        <f t="shared" si="53"/>
        <v/>
      </c>
      <c r="F420" s="334" t="str">
        <f t="shared" si="54"/>
        <v/>
      </c>
      <c r="G420" s="334" t="str">
        <f t="shared" si="55"/>
        <v/>
      </c>
      <c r="H420" s="336"/>
      <c r="I420" s="336"/>
      <c r="J420" s="336"/>
      <c r="K420" s="336"/>
      <c r="L420" s="337"/>
    </row>
    <row r="421" spans="1:12" ht="13.8">
      <c r="A421" s="334" t="str">
        <f t="shared" si="49"/>
        <v/>
      </c>
      <c r="B421" s="334" t="str">
        <f t="shared" si="50"/>
        <v/>
      </c>
      <c r="C421" s="334" t="str">
        <f t="shared" si="51"/>
        <v/>
      </c>
      <c r="D421" s="334" t="str">
        <f t="shared" si="52"/>
        <v/>
      </c>
      <c r="E421" s="334" t="str">
        <f t="shared" si="53"/>
        <v/>
      </c>
      <c r="F421" s="334" t="str">
        <f t="shared" si="54"/>
        <v/>
      </c>
      <c r="G421" s="334" t="str">
        <f t="shared" si="55"/>
        <v/>
      </c>
      <c r="H421" s="336"/>
      <c r="I421" s="336"/>
      <c r="J421" s="336"/>
      <c r="K421" s="336"/>
      <c r="L421" s="337"/>
    </row>
    <row r="422" spans="1:12" ht="13.8">
      <c r="A422" s="334" t="str">
        <f t="shared" si="49"/>
        <v/>
      </c>
      <c r="B422" s="334" t="str">
        <f t="shared" si="50"/>
        <v/>
      </c>
      <c r="C422" s="334" t="str">
        <f t="shared" si="51"/>
        <v/>
      </c>
      <c r="D422" s="334" t="str">
        <f t="shared" si="52"/>
        <v/>
      </c>
      <c r="E422" s="334" t="str">
        <f t="shared" si="53"/>
        <v/>
      </c>
      <c r="F422" s="334" t="str">
        <f t="shared" si="54"/>
        <v/>
      </c>
      <c r="G422" s="334" t="str">
        <f t="shared" si="55"/>
        <v/>
      </c>
      <c r="H422" s="336"/>
      <c r="I422" s="336"/>
      <c r="J422" s="336"/>
      <c r="K422" s="336"/>
      <c r="L422" s="337"/>
    </row>
    <row r="423" spans="1:12" ht="13.8">
      <c r="A423" s="334" t="str">
        <f t="shared" si="49"/>
        <v/>
      </c>
      <c r="B423" s="334" t="str">
        <f t="shared" si="50"/>
        <v/>
      </c>
      <c r="C423" s="334" t="str">
        <f t="shared" si="51"/>
        <v/>
      </c>
      <c r="D423" s="334" t="str">
        <f t="shared" si="52"/>
        <v/>
      </c>
      <c r="E423" s="334" t="str">
        <f t="shared" si="53"/>
        <v/>
      </c>
      <c r="F423" s="334" t="str">
        <f t="shared" si="54"/>
        <v/>
      </c>
      <c r="G423" s="334" t="str">
        <f t="shared" si="55"/>
        <v/>
      </c>
      <c r="H423" s="336"/>
      <c r="I423" s="336"/>
      <c r="J423" s="336"/>
      <c r="K423" s="336"/>
      <c r="L423" s="337"/>
    </row>
    <row r="424" spans="1:12" ht="13.8">
      <c r="A424" s="334" t="str">
        <f t="shared" si="49"/>
        <v/>
      </c>
      <c r="B424" s="334" t="str">
        <f t="shared" si="50"/>
        <v/>
      </c>
      <c r="C424" s="334" t="str">
        <f t="shared" si="51"/>
        <v/>
      </c>
      <c r="D424" s="334" t="str">
        <f t="shared" si="52"/>
        <v/>
      </c>
      <c r="E424" s="334" t="str">
        <f t="shared" si="53"/>
        <v/>
      </c>
      <c r="F424" s="334" t="str">
        <f t="shared" si="54"/>
        <v/>
      </c>
      <c r="G424" s="334" t="str">
        <f t="shared" si="55"/>
        <v/>
      </c>
      <c r="H424" s="336"/>
      <c r="I424" s="336"/>
      <c r="J424" s="336"/>
      <c r="K424" s="336"/>
      <c r="L424" s="337"/>
    </row>
    <row r="425" spans="1:12" ht="13.8">
      <c r="A425" s="334" t="str">
        <f t="shared" si="49"/>
        <v/>
      </c>
      <c r="B425" s="334" t="str">
        <f t="shared" si="50"/>
        <v/>
      </c>
      <c r="C425" s="334" t="str">
        <f t="shared" si="51"/>
        <v/>
      </c>
      <c r="D425" s="334" t="str">
        <f t="shared" si="52"/>
        <v/>
      </c>
      <c r="E425" s="334" t="str">
        <f t="shared" si="53"/>
        <v/>
      </c>
      <c r="F425" s="334" t="str">
        <f t="shared" si="54"/>
        <v/>
      </c>
      <c r="G425" s="334" t="str">
        <f t="shared" si="55"/>
        <v/>
      </c>
      <c r="H425" s="336"/>
      <c r="I425" s="336"/>
      <c r="J425" s="336"/>
      <c r="K425" s="336"/>
      <c r="L425" s="337"/>
    </row>
    <row r="426" spans="1:12" ht="13.8">
      <c r="A426" s="334" t="str">
        <f t="shared" si="49"/>
        <v/>
      </c>
      <c r="B426" s="334" t="str">
        <f t="shared" si="50"/>
        <v/>
      </c>
      <c r="C426" s="334" t="str">
        <f t="shared" si="51"/>
        <v/>
      </c>
      <c r="D426" s="334" t="str">
        <f t="shared" si="52"/>
        <v/>
      </c>
      <c r="E426" s="334" t="str">
        <f t="shared" si="53"/>
        <v/>
      </c>
      <c r="F426" s="334" t="str">
        <f t="shared" si="54"/>
        <v/>
      </c>
      <c r="G426" s="334" t="str">
        <f t="shared" si="55"/>
        <v/>
      </c>
      <c r="H426" s="336"/>
      <c r="I426" s="336"/>
      <c r="J426" s="336"/>
      <c r="K426" s="336"/>
      <c r="L426" s="337"/>
    </row>
    <row r="427" spans="1:12" ht="13.8">
      <c r="A427" s="334" t="str">
        <f t="shared" si="49"/>
        <v/>
      </c>
      <c r="B427" s="334" t="str">
        <f t="shared" si="50"/>
        <v/>
      </c>
      <c r="C427" s="334" t="str">
        <f t="shared" si="51"/>
        <v/>
      </c>
      <c r="D427" s="334" t="str">
        <f t="shared" si="52"/>
        <v/>
      </c>
      <c r="E427" s="334" t="str">
        <f t="shared" si="53"/>
        <v/>
      </c>
      <c r="F427" s="334" t="str">
        <f t="shared" si="54"/>
        <v/>
      </c>
      <c r="G427" s="334" t="str">
        <f t="shared" si="55"/>
        <v/>
      </c>
      <c r="H427" s="336"/>
      <c r="I427" s="336"/>
      <c r="J427" s="336"/>
      <c r="K427" s="336"/>
      <c r="L427" s="337"/>
    </row>
    <row r="428" spans="1:12" ht="13.8">
      <c r="A428" s="334" t="str">
        <f t="shared" si="49"/>
        <v/>
      </c>
      <c r="B428" s="334" t="str">
        <f t="shared" si="50"/>
        <v/>
      </c>
      <c r="C428" s="334" t="str">
        <f t="shared" si="51"/>
        <v/>
      </c>
      <c r="D428" s="334" t="str">
        <f t="shared" si="52"/>
        <v/>
      </c>
      <c r="E428" s="334" t="str">
        <f t="shared" si="53"/>
        <v/>
      </c>
      <c r="F428" s="334" t="str">
        <f t="shared" si="54"/>
        <v/>
      </c>
      <c r="G428" s="334" t="str">
        <f t="shared" si="55"/>
        <v/>
      </c>
      <c r="H428" s="336"/>
      <c r="I428" s="336"/>
      <c r="J428" s="336"/>
      <c r="K428" s="336"/>
      <c r="L428" s="337"/>
    </row>
    <row r="429" spans="1:12" ht="13.8">
      <c r="A429" s="334" t="str">
        <f t="shared" si="49"/>
        <v/>
      </c>
      <c r="B429" s="334" t="str">
        <f t="shared" si="50"/>
        <v/>
      </c>
      <c r="C429" s="334" t="str">
        <f t="shared" si="51"/>
        <v/>
      </c>
      <c r="D429" s="334" t="str">
        <f t="shared" si="52"/>
        <v/>
      </c>
      <c r="E429" s="334" t="str">
        <f t="shared" si="53"/>
        <v/>
      </c>
      <c r="F429" s="334" t="str">
        <f t="shared" si="54"/>
        <v/>
      </c>
      <c r="G429" s="334" t="str">
        <f t="shared" si="55"/>
        <v/>
      </c>
      <c r="H429" s="336"/>
      <c r="I429" s="336"/>
      <c r="J429" s="336"/>
      <c r="K429" s="336"/>
      <c r="L429" s="337"/>
    </row>
    <row r="430" spans="1:12" ht="13.8">
      <c r="A430" s="334" t="str">
        <f t="shared" si="49"/>
        <v/>
      </c>
      <c r="B430" s="334" t="str">
        <f t="shared" si="50"/>
        <v/>
      </c>
      <c r="C430" s="334" t="str">
        <f t="shared" si="51"/>
        <v/>
      </c>
      <c r="D430" s="334" t="str">
        <f t="shared" si="52"/>
        <v/>
      </c>
      <c r="E430" s="334" t="str">
        <f t="shared" si="53"/>
        <v/>
      </c>
      <c r="F430" s="334" t="str">
        <f t="shared" si="54"/>
        <v/>
      </c>
      <c r="G430" s="334" t="str">
        <f t="shared" si="55"/>
        <v/>
      </c>
      <c r="H430" s="336"/>
      <c r="I430" s="336"/>
      <c r="J430" s="336"/>
      <c r="K430" s="336"/>
      <c r="L430" s="337"/>
    </row>
    <row r="431" spans="1:12" ht="13.8">
      <c r="A431" s="334" t="str">
        <f t="shared" si="49"/>
        <v/>
      </c>
      <c r="B431" s="334" t="str">
        <f t="shared" si="50"/>
        <v/>
      </c>
      <c r="C431" s="334" t="str">
        <f t="shared" si="51"/>
        <v/>
      </c>
      <c r="D431" s="334" t="str">
        <f t="shared" si="52"/>
        <v/>
      </c>
      <c r="E431" s="334" t="str">
        <f t="shared" si="53"/>
        <v/>
      </c>
      <c r="F431" s="334" t="str">
        <f t="shared" si="54"/>
        <v/>
      </c>
      <c r="G431" s="334" t="str">
        <f t="shared" si="55"/>
        <v/>
      </c>
      <c r="H431" s="336"/>
      <c r="I431" s="336"/>
      <c r="J431" s="336"/>
      <c r="K431" s="336"/>
      <c r="L431" s="337"/>
    </row>
    <row r="432" spans="1:12" ht="13.8">
      <c r="A432" s="334" t="str">
        <f t="shared" si="49"/>
        <v/>
      </c>
      <c r="B432" s="334" t="str">
        <f t="shared" si="50"/>
        <v/>
      </c>
      <c r="C432" s="334" t="str">
        <f t="shared" si="51"/>
        <v/>
      </c>
      <c r="D432" s="334" t="str">
        <f t="shared" si="52"/>
        <v/>
      </c>
      <c r="E432" s="334" t="str">
        <f t="shared" si="53"/>
        <v/>
      </c>
      <c r="F432" s="334" t="str">
        <f t="shared" si="54"/>
        <v/>
      </c>
      <c r="G432" s="334" t="str">
        <f t="shared" si="55"/>
        <v/>
      </c>
      <c r="H432" s="336"/>
      <c r="I432" s="336"/>
      <c r="J432" s="336"/>
      <c r="K432" s="336"/>
      <c r="L432" s="336"/>
    </row>
    <row r="433" spans="1:12" ht="13.8">
      <c r="A433" s="334" t="str">
        <f t="shared" si="49"/>
        <v/>
      </c>
      <c r="B433" s="334" t="str">
        <f t="shared" si="50"/>
        <v/>
      </c>
      <c r="C433" s="334" t="str">
        <f t="shared" si="51"/>
        <v/>
      </c>
      <c r="D433" s="334" t="str">
        <f t="shared" si="52"/>
        <v/>
      </c>
      <c r="E433" s="334" t="str">
        <f t="shared" si="53"/>
        <v/>
      </c>
      <c r="F433" s="334" t="str">
        <f t="shared" si="54"/>
        <v/>
      </c>
      <c r="G433" s="334" t="str">
        <f t="shared" si="55"/>
        <v/>
      </c>
      <c r="H433" s="336"/>
      <c r="I433" s="336"/>
      <c r="J433" s="336"/>
      <c r="K433" s="336"/>
      <c r="L433" s="336"/>
    </row>
    <row r="434" spans="1:12" ht="13.8">
      <c r="A434" s="334" t="str">
        <f t="shared" si="49"/>
        <v/>
      </c>
      <c r="B434" s="334" t="str">
        <f t="shared" si="50"/>
        <v/>
      </c>
      <c r="C434" s="334" t="str">
        <f t="shared" si="51"/>
        <v/>
      </c>
      <c r="D434" s="334" t="str">
        <f t="shared" si="52"/>
        <v/>
      </c>
      <c r="E434" s="334" t="str">
        <f t="shared" si="53"/>
        <v/>
      </c>
      <c r="F434" s="334" t="str">
        <f t="shared" si="54"/>
        <v/>
      </c>
      <c r="G434" s="334" t="str">
        <f t="shared" si="55"/>
        <v/>
      </c>
      <c r="H434" s="336"/>
      <c r="I434" s="336"/>
      <c r="J434" s="336"/>
      <c r="K434" s="336"/>
      <c r="L434" s="336"/>
    </row>
    <row r="435" spans="1:12" ht="13.8">
      <c r="A435" s="334" t="str">
        <f t="shared" si="49"/>
        <v/>
      </c>
      <c r="B435" s="334" t="str">
        <f t="shared" si="50"/>
        <v/>
      </c>
      <c r="C435" s="334" t="str">
        <f t="shared" si="51"/>
        <v/>
      </c>
      <c r="D435" s="334" t="str">
        <f t="shared" si="52"/>
        <v/>
      </c>
      <c r="E435" s="334" t="str">
        <f t="shared" si="53"/>
        <v/>
      </c>
      <c r="F435" s="334" t="str">
        <f t="shared" si="54"/>
        <v/>
      </c>
      <c r="G435" s="334" t="str">
        <f t="shared" si="55"/>
        <v/>
      </c>
      <c r="H435" s="336"/>
      <c r="I435" s="336"/>
      <c r="J435" s="336"/>
      <c r="K435" s="336"/>
      <c r="L435" s="336"/>
    </row>
    <row r="436" spans="1:12" ht="13.8">
      <c r="A436" s="334" t="str">
        <f t="shared" si="49"/>
        <v/>
      </c>
      <c r="B436" s="334" t="str">
        <f t="shared" si="50"/>
        <v/>
      </c>
      <c r="C436" s="334" t="str">
        <f t="shared" si="51"/>
        <v/>
      </c>
      <c r="D436" s="334" t="str">
        <f t="shared" si="52"/>
        <v/>
      </c>
      <c r="E436" s="334" t="str">
        <f t="shared" si="53"/>
        <v/>
      </c>
      <c r="F436" s="334" t="str">
        <f t="shared" si="54"/>
        <v/>
      </c>
      <c r="G436" s="334" t="str">
        <f t="shared" si="55"/>
        <v/>
      </c>
      <c r="H436" s="336"/>
      <c r="I436" s="336"/>
      <c r="J436" s="336"/>
      <c r="K436" s="336"/>
      <c r="L436" s="336"/>
    </row>
    <row r="437" spans="1:12" ht="13.8">
      <c r="A437" s="334" t="str">
        <f t="shared" si="49"/>
        <v/>
      </c>
      <c r="B437" s="334" t="str">
        <f t="shared" si="50"/>
        <v/>
      </c>
      <c r="C437" s="334" t="str">
        <f t="shared" si="51"/>
        <v/>
      </c>
      <c r="D437" s="334" t="str">
        <f t="shared" si="52"/>
        <v/>
      </c>
      <c r="E437" s="334" t="str">
        <f t="shared" si="53"/>
        <v/>
      </c>
      <c r="F437" s="334" t="str">
        <f t="shared" si="54"/>
        <v/>
      </c>
      <c r="G437" s="334" t="str">
        <f t="shared" si="55"/>
        <v/>
      </c>
      <c r="H437" s="336"/>
      <c r="I437" s="336"/>
      <c r="J437" s="336"/>
      <c r="K437" s="336"/>
      <c r="L437" s="336"/>
    </row>
    <row r="438" spans="1:12" ht="13.8">
      <c r="A438" s="334" t="str">
        <f t="shared" si="49"/>
        <v/>
      </c>
      <c r="B438" s="334" t="str">
        <f t="shared" si="50"/>
        <v/>
      </c>
      <c r="C438" s="334" t="str">
        <f t="shared" si="51"/>
        <v/>
      </c>
      <c r="D438" s="334" t="str">
        <f t="shared" si="52"/>
        <v/>
      </c>
      <c r="E438" s="334" t="str">
        <f t="shared" si="53"/>
        <v/>
      </c>
      <c r="F438" s="334" t="str">
        <f t="shared" si="54"/>
        <v/>
      </c>
      <c r="G438" s="334" t="str">
        <f t="shared" si="55"/>
        <v/>
      </c>
      <c r="H438" s="336"/>
      <c r="I438" s="336"/>
      <c r="J438" s="336"/>
      <c r="K438" s="336"/>
      <c r="L438" s="336"/>
    </row>
    <row r="439" spans="1:12" ht="13.8">
      <c r="A439" s="334" t="str">
        <f t="shared" si="49"/>
        <v/>
      </c>
      <c r="B439" s="334" t="str">
        <f t="shared" si="50"/>
        <v/>
      </c>
      <c r="C439" s="334" t="str">
        <f t="shared" si="51"/>
        <v/>
      </c>
      <c r="D439" s="334" t="str">
        <f t="shared" si="52"/>
        <v/>
      </c>
      <c r="E439" s="334" t="str">
        <f t="shared" si="53"/>
        <v/>
      </c>
      <c r="F439" s="334" t="str">
        <f t="shared" si="54"/>
        <v/>
      </c>
      <c r="G439" s="334" t="str">
        <f t="shared" si="55"/>
        <v/>
      </c>
      <c r="H439" s="336"/>
      <c r="I439" s="336"/>
      <c r="J439" s="336"/>
      <c r="K439" s="336"/>
      <c r="L439" s="336"/>
    </row>
    <row r="440" spans="1:12" ht="13.8">
      <c r="A440" s="334" t="str">
        <f t="shared" si="49"/>
        <v/>
      </c>
      <c r="B440" s="334" t="str">
        <f t="shared" si="50"/>
        <v/>
      </c>
      <c r="C440" s="334" t="str">
        <f t="shared" si="51"/>
        <v/>
      </c>
      <c r="D440" s="334" t="str">
        <f t="shared" si="52"/>
        <v/>
      </c>
      <c r="E440" s="334" t="str">
        <f t="shared" si="53"/>
        <v/>
      </c>
      <c r="F440" s="334" t="str">
        <f t="shared" si="54"/>
        <v/>
      </c>
      <c r="G440" s="334" t="str">
        <f t="shared" si="55"/>
        <v/>
      </c>
      <c r="H440" s="336"/>
      <c r="I440" s="336"/>
      <c r="J440" s="336"/>
      <c r="K440" s="336"/>
      <c r="L440" s="336"/>
    </row>
    <row r="441" spans="1:12" ht="13.8">
      <c r="A441" s="334" t="str">
        <f t="shared" si="49"/>
        <v/>
      </c>
      <c r="B441" s="334" t="str">
        <f t="shared" si="50"/>
        <v/>
      </c>
      <c r="C441" s="334" t="str">
        <f t="shared" si="51"/>
        <v/>
      </c>
      <c r="D441" s="334" t="str">
        <f t="shared" si="52"/>
        <v/>
      </c>
      <c r="E441" s="334" t="str">
        <f t="shared" si="53"/>
        <v/>
      </c>
      <c r="F441" s="334" t="str">
        <f t="shared" si="54"/>
        <v/>
      </c>
      <c r="G441" s="334" t="str">
        <f t="shared" si="55"/>
        <v/>
      </c>
      <c r="K441" s="336"/>
      <c r="L441" s="336"/>
    </row>
    <row r="442" spans="1:12" ht="13.8">
      <c r="A442" s="334" t="str">
        <f t="shared" si="49"/>
        <v/>
      </c>
      <c r="B442" s="334" t="str">
        <f t="shared" si="50"/>
        <v/>
      </c>
      <c r="C442" s="334" t="str">
        <f t="shared" si="51"/>
        <v/>
      </c>
      <c r="D442" s="334" t="str">
        <f t="shared" si="52"/>
        <v/>
      </c>
      <c r="E442" s="334" t="str">
        <f t="shared" si="53"/>
        <v/>
      </c>
      <c r="F442" s="334" t="str">
        <f t="shared" si="54"/>
        <v/>
      </c>
      <c r="G442" s="334" t="str">
        <f t="shared" si="55"/>
        <v/>
      </c>
      <c r="K442" s="336"/>
      <c r="L442" s="336"/>
    </row>
    <row r="443" spans="1:12" ht="13.8">
      <c r="A443" s="334" t="str">
        <f t="shared" si="49"/>
        <v/>
      </c>
      <c r="B443" s="334" t="str">
        <f t="shared" si="50"/>
        <v/>
      </c>
      <c r="C443" s="334" t="str">
        <f t="shared" si="51"/>
        <v/>
      </c>
      <c r="D443" s="334" t="str">
        <f t="shared" si="52"/>
        <v/>
      </c>
      <c r="E443" s="334" t="str">
        <f t="shared" si="53"/>
        <v/>
      </c>
      <c r="F443" s="334" t="str">
        <f t="shared" si="54"/>
        <v/>
      </c>
      <c r="G443" s="334" t="str">
        <f t="shared" si="55"/>
        <v/>
      </c>
      <c r="K443" s="336"/>
      <c r="L443" s="336"/>
    </row>
    <row r="444" spans="1:12" ht="13.8">
      <c r="A444" s="334" t="str">
        <f t="shared" si="49"/>
        <v/>
      </c>
      <c r="B444" s="334" t="str">
        <f t="shared" si="50"/>
        <v/>
      </c>
      <c r="C444" s="334" t="str">
        <f t="shared" si="51"/>
        <v/>
      </c>
      <c r="D444" s="334" t="str">
        <f t="shared" si="52"/>
        <v/>
      </c>
      <c r="E444" s="334" t="str">
        <f t="shared" si="53"/>
        <v/>
      </c>
      <c r="F444" s="334" t="str">
        <f t="shared" si="54"/>
        <v/>
      </c>
      <c r="G444" s="334" t="str">
        <f t="shared" si="55"/>
        <v/>
      </c>
      <c r="K444" s="336"/>
      <c r="L444" s="336"/>
    </row>
    <row r="445" spans="1:12">
      <c r="K445" s="336"/>
      <c r="L445" s="336"/>
    </row>
    <row r="446" spans="1:12">
      <c r="K446" s="336"/>
      <c r="L446" s="336"/>
    </row>
    <row r="447" spans="1:12">
      <c r="K447" s="336"/>
      <c r="L447" s="336"/>
    </row>
    <row r="448" spans="1:12">
      <c r="K448" s="336"/>
      <c r="L448" s="336"/>
    </row>
    <row r="449" spans="11:12">
      <c r="K449" s="336"/>
      <c r="L449" s="336"/>
    </row>
    <row r="450" spans="11:12">
      <c r="K450" s="336"/>
      <c r="L450" s="336"/>
    </row>
    <row r="451" spans="11:12">
      <c r="K451" s="336"/>
      <c r="L451" s="336"/>
    </row>
    <row r="452" spans="11:12">
      <c r="K452" s="336"/>
      <c r="L452" s="336"/>
    </row>
    <row r="453" spans="11:12">
      <c r="K453" s="336"/>
      <c r="L453" s="336"/>
    </row>
    <row r="454" spans="11:12">
      <c r="K454" s="336"/>
      <c r="L454" s="336"/>
    </row>
    <row r="455" spans="11:12">
      <c r="K455" s="336"/>
      <c r="L455" s="336"/>
    </row>
    <row r="456" spans="11:12">
      <c r="K456" s="336"/>
      <c r="L456" s="336"/>
    </row>
    <row r="457" spans="11:12">
      <c r="K457" s="336"/>
      <c r="L457" s="336"/>
    </row>
    <row r="458" spans="11:12">
      <c r="K458" s="336"/>
      <c r="L458" s="336"/>
    </row>
    <row r="459" spans="11:12">
      <c r="K459" s="336"/>
      <c r="L459" s="336"/>
    </row>
    <row r="460" spans="11:12">
      <c r="K460" s="336"/>
      <c r="L460" s="336"/>
    </row>
    <row r="461" spans="11:12">
      <c r="K461" s="336"/>
      <c r="L461" s="336"/>
    </row>
    <row r="462" spans="11:12">
      <c r="K462" s="336"/>
      <c r="L462" s="336"/>
    </row>
    <row r="463" spans="11:12">
      <c r="K463" s="336"/>
      <c r="L463" s="336"/>
    </row>
    <row r="464" spans="11:12">
      <c r="K464" s="336"/>
      <c r="L464" s="336"/>
    </row>
    <row r="465" spans="11:12">
      <c r="K465" s="336"/>
      <c r="L465" s="336"/>
    </row>
    <row r="466" spans="11:12">
      <c r="K466" s="336"/>
      <c r="L466" s="336"/>
    </row>
    <row r="467" spans="11:12">
      <c r="K467" s="336"/>
      <c r="L467" s="336"/>
    </row>
    <row r="468" spans="11:12">
      <c r="K468" s="336"/>
      <c r="L468" s="336"/>
    </row>
    <row r="469" spans="11:12">
      <c r="K469" s="336"/>
      <c r="L469" s="336"/>
    </row>
    <row r="470" spans="11:12">
      <c r="K470" s="336"/>
      <c r="L470" s="336"/>
    </row>
    <row r="471" spans="11:12">
      <c r="K471" s="336"/>
      <c r="L471" s="336"/>
    </row>
    <row r="472" spans="11:12">
      <c r="K472" s="336"/>
      <c r="L472" s="336"/>
    </row>
    <row r="473" spans="11:12">
      <c r="K473" s="336"/>
      <c r="L473" s="336"/>
    </row>
    <row r="474" spans="11:12">
      <c r="K474" s="336"/>
      <c r="L474" s="336"/>
    </row>
    <row r="475" spans="11:12">
      <c r="K475" s="336"/>
      <c r="L475" s="336"/>
    </row>
    <row r="476" spans="11:12">
      <c r="K476" s="336"/>
      <c r="L476" s="336"/>
    </row>
    <row r="477" spans="11:12">
      <c r="K477" s="336"/>
      <c r="L477" s="336"/>
    </row>
    <row r="478" spans="11:12">
      <c r="K478" s="336"/>
      <c r="L478" s="336"/>
    </row>
    <row r="479" spans="11:12">
      <c r="K479" s="336"/>
      <c r="L479" s="336"/>
    </row>
    <row r="480" spans="11:12">
      <c r="K480" s="336"/>
      <c r="L480" s="336"/>
    </row>
    <row r="481" spans="11:12">
      <c r="K481" s="336"/>
      <c r="L481" s="336"/>
    </row>
    <row r="482" spans="11:12">
      <c r="K482" s="336"/>
      <c r="L482" s="336"/>
    </row>
    <row r="483" spans="11:12">
      <c r="K483" s="336"/>
      <c r="L483" s="336"/>
    </row>
    <row r="484" spans="11:12">
      <c r="K484" s="336"/>
      <c r="L484" s="336"/>
    </row>
    <row r="485" spans="11:12">
      <c r="K485" s="336"/>
      <c r="L485" s="336"/>
    </row>
    <row r="486" spans="11:12">
      <c r="K486" s="336"/>
      <c r="L486" s="336"/>
    </row>
    <row r="487" spans="11:12">
      <c r="K487" s="336"/>
      <c r="L487" s="336"/>
    </row>
    <row r="488" spans="11:12">
      <c r="K488" s="336"/>
      <c r="L488" s="336"/>
    </row>
    <row r="489" spans="11:12">
      <c r="K489" s="336"/>
      <c r="L489" s="336"/>
    </row>
    <row r="490" spans="11:12">
      <c r="K490" s="336"/>
      <c r="L490" s="336"/>
    </row>
    <row r="491" spans="11:12">
      <c r="K491" s="336"/>
      <c r="L491" s="336"/>
    </row>
    <row r="492" spans="11:12">
      <c r="K492" s="336"/>
      <c r="L492" s="336"/>
    </row>
    <row r="493" spans="11:12">
      <c r="K493" s="336"/>
      <c r="L493" s="336"/>
    </row>
    <row r="494" spans="11:12">
      <c r="K494" s="336"/>
      <c r="L494" s="336"/>
    </row>
    <row r="495" spans="11:12">
      <c r="K495" s="336"/>
      <c r="L495" s="336"/>
    </row>
    <row r="496" spans="11:12">
      <c r="K496" s="336"/>
      <c r="L496" s="336"/>
    </row>
    <row r="497" spans="11:12">
      <c r="K497" s="336"/>
      <c r="L497" s="336"/>
    </row>
    <row r="498" spans="11:12">
      <c r="K498" s="336"/>
      <c r="L498" s="336"/>
    </row>
    <row r="499" spans="11:12">
      <c r="K499" s="336"/>
      <c r="L499" s="336"/>
    </row>
    <row r="500" spans="11:12">
      <c r="K500" s="336"/>
      <c r="L500" s="336"/>
    </row>
    <row r="501" spans="11:12">
      <c r="K501" s="336"/>
      <c r="L501" s="336"/>
    </row>
    <row r="502" spans="11:12">
      <c r="K502" s="336"/>
      <c r="L502" s="336"/>
    </row>
    <row r="503" spans="11:12">
      <c r="K503" s="336"/>
      <c r="L503" s="336"/>
    </row>
    <row r="504" spans="11:12">
      <c r="K504" s="336"/>
      <c r="L504" s="336"/>
    </row>
    <row r="505" spans="11:12">
      <c r="K505" s="336"/>
      <c r="L505" s="336"/>
    </row>
    <row r="506" spans="11:12">
      <c r="K506" s="336"/>
      <c r="L506" s="336"/>
    </row>
    <row r="507" spans="11:12">
      <c r="K507" s="336"/>
      <c r="L507" s="336"/>
    </row>
    <row r="508" spans="11:12">
      <c r="K508" s="336"/>
      <c r="L508" s="336"/>
    </row>
    <row r="509" spans="11:12">
      <c r="K509" s="336"/>
      <c r="L509" s="336"/>
    </row>
    <row r="510" spans="11:12">
      <c r="K510" s="336"/>
      <c r="L510" s="336"/>
    </row>
    <row r="511" spans="11:12">
      <c r="K511" s="336"/>
      <c r="L511" s="336"/>
    </row>
    <row r="512" spans="11:12">
      <c r="K512" s="336"/>
      <c r="L512" s="336"/>
    </row>
    <row r="513" spans="11:12">
      <c r="K513" s="336"/>
      <c r="L513" s="336"/>
    </row>
    <row r="514" spans="11:12">
      <c r="K514" s="336"/>
      <c r="L514" s="336"/>
    </row>
    <row r="515" spans="11:12">
      <c r="K515" s="336"/>
      <c r="L515" s="336"/>
    </row>
    <row r="516" spans="11:12">
      <c r="K516" s="336"/>
      <c r="L516" s="336"/>
    </row>
    <row r="517" spans="11:12">
      <c r="K517" s="336"/>
      <c r="L517" s="336"/>
    </row>
    <row r="518" spans="11:12">
      <c r="K518" s="336"/>
      <c r="L518" s="336"/>
    </row>
    <row r="519" spans="11:12">
      <c r="K519" s="336"/>
      <c r="L519" s="336"/>
    </row>
    <row r="520" spans="11:12">
      <c r="K520" s="336"/>
      <c r="L520" s="336"/>
    </row>
    <row r="521" spans="11:12">
      <c r="K521" s="336"/>
      <c r="L521" s="336"/>
    </row>
    <row r="522" spans="11:12">
      <c r="K522" s="336"/>
      <c r="L522" s="336"/>
    </row>
    <row r="523" spans="11:12">
      <c r="K523" s="336"/>
      <c r="L523" s="336"/>
    </row>
    <row r="524" spans="11:12">
      <c r="K524" s="336"/>
      <c r="L524" s="336"/>
    </row>
    <row r="525" spans="11:12">
      <c r="K525" s="336"/>
      <c r="L525" s="336"/>
    </row>
    <row r="526" spans="11:12">
      <c r="K526" s="336"/>
      <c r="L526" s="336"/>
    </row>
    <row r="527" spans="11:12">
      <c r="K527" s="336"/>
      <c r="L527" s="336"/>
    </row>
    <row r="528" spans="11:12">
      <c r="K528" s="336"/>
      <c r="L528" s="336"/>
    </row>
    <row r="529" spans="11:12">
      <c r="K529" s="336"/>
      <c r="L529" s="336"/>
    </row>
    <row r="530" spans="11:12">
      <c r="K530" s="336"/>
      <c r="L530" s="336"/>
    </row>
    <row r="531" spans="11:12">
      <c r="K531" s="336"/>
      <c r="L531" s="336"/>
    </row>
    <row r="532" spans="11:12">
      <c r="K532" s="336"/>
      <c r="L532" s="336"/>
    </row>
    <row r="533" spans="11:12">
      <c r="K533" s="336"/>
      <c r="L533" s="336"/>
    </row>
    <row r="534" spans="11:12">
      <c r="K534" s="336"/>
      <c r="L534" s="336"/>
    </row>
    <row r="535" spans="11:12">
      <c r="K535" s="336"/>
      <c r="L535" s="336"/>
    </row>
    <row r="536" spans="11:12">
      <c r="K536" s="336"/>
      <c r="L536" s="336"/>
    </row>
    <row r="537" spans="11:12">
      <c r="K537" s="336"/>
      <c r="L537" s="336"/>
    </row>
    <row r="538" spans="11:12">
      <c r="K538" s="336"/>
      <c r="L538" s="336"/>
    </row>
    <row r="539" spans="11:12">
      <c r="K539" s="336"/>
      <c r="L539" s="336"/>
    </row>
    <row r="540" spans="11:12">
      <c r="K540" s="336"/>
      <c r="L540" s="336"/>
    </row>
    <row r="541" spans="11:12">
      <c r="K541" s="336"/>
      <c r="L541" s="336"/>
    </row>
    <row r="542" spans="11:12">
      <c r="K542" s="336"/>
      <c r="L542" s="336"/>
    </row>
    <row r="543" spans="11:12">
      <c r="K543" s="336"/>
      <c r="L543" s="336"/>
    </row>
    <row r="544" spans="11:12">
      <c r="K544" s="336"/>
      <c r="L544" s="336"/>
    </row>
    <row r="545" spans="11:12">
      <c r="K545" s="336"/>
      <c r="L545" s="336"/>
    </row>
    <row r="546" spans="11:12">
      <c r="K546" s="336"/>
      <c r="L546" s="336"/>
    </row>
    <row r="547" spans="11:12">
      <c r="K547" s="336"/>
      <c r="L547" s="336"/>
    </row>
    <row r="548" spans="11:12">
      <c r="K548" s="336"/>
      <c r="L548" s="336"/>
    </row>
    <row r="549" spans="11:12">
      <c r="K549" s="336"/>
      <c r="L549" s="336"/>
    </row>
    <row r="550" spans="11:12">
      <c r="K550" s="336"/>
      <c r="L550" s="336"/>
    </row>
    <row r="551" spans="11:12">
      <c r="K551" s="336"/>
      <c r="L551" s="336"/>
    </row>
    <row r="552" spans="11:12">
      <c r="K552" s="336"/>
      <c r="L552" s="336"/>
    </row>
    <row r="553" spans="11:12">
      <c r="K553" s="336"/>
      <c r="L553" s="336"/>
    </row>
    <row r="554" spans="11:12">
      <c r="K554" s="336"/>
      <c r="L554" s="336"/>
    </row>
    <row r="555" spans="11:12">
      <c r="K555" s="336"/>
      <c r="L555" s="336"/>
    </row>
    <row r="556" spans="11:12">
      <c r="K556" s="336"/>
      <c r="L556" s="336"/>
    </row>
    <row r="557" spans="11:12">
      <c r="K557" s="336"/>
      <c r="L557" s="336"/>
    </row>
    <row r="558" spans="11:12">
      <c r="K558" s="336"/>
      <c r="L558" s="336"/>
    </row>
    <row r="559" spans="11:12">
      <c r="K559" s="336"/>
      <c r="L559" s="336"/>
    </row>
    <row r="560" spans="11:12">
      <c r="K560" s="336"/>
      <c r="L560" s="336"/>
    </row>
    <row r="561" spans="11:12">
      <c r="K561" s="336"/>
      <c r="L561" s="336"/>
    </row>
    <row r="562" spans="11:12">
      <c r="K562" s="336"/>
      <c r="L562" s="336"/>
    </row>
    <row r="563" spans="11:12">
      <c r="K563" s="336"/>
      <c r="L563" s="336"/>
    </row>
    <row r="564" spans="11:12">
      <c r="K564" s="336"/>
      <c r="L564" s="336"/>
    </row>
    <row r="565" spans="11:12">
      <c r="K565" s="336"/>
      <c r="L565" s="336"/>
    </row>
    <row r="566" spans="11:12">
      <c r="K566" s="336"/>
      <c r="L566" s="336"/>
    </row>
    <row r="567" spans="11:12">
      <c r="K567" s="336"/>
      <c r="L567" s="336"/>
    </row>
    <row r="568" spans="11:12">
      <c r="K568" s="336"/>
      <c r="L568" s="336"/>
    </row>
    <row r="569" spans="11:12">
      <c r="K569" s="336"/>
      <c r="L569" s="336"/>
    </row>
    <row r="570" spans="11:12">
      <c r="K570" s="336"/>
      <c r="L570" s="336"/>
    </row>
    <row r="571" spans="11:12">
      <c r="K571" s="336"/>
      <c r="L571" s="336"/>
    </row>
    <row r="572" spans="11:12">
      <c r="K572" s="336"/>
      <c r="L572" s="336"/>
    </row>
    <row r="573" spans="11:12">
      <c r="K573" s="336"/>
      <c r="L573" s="336"/>
    </row>
    <row r="574" spans="11:12">
      <c r="K574" s="336"/>
      <c r="L574" s="336"/>
    </row>
    <row r="575" spans="11:12">
      <c r="K575" s="336"/>
      <c r="L575" s="336"/>
    </row>
    <row r="576" spans="11:12">
      <c r="K576" s="336"/>
      <c r="L576" s="336"/>
    </row>
    <row r="577" spans="11:12">
      <c r="K577" s="336"/>
      <c r="L577" s="336"/>
    </row>
    <row r="578" spans="11:12">
      <c r="K578" s="336"/>
      <c r="L578" s="336"/>
    </row>
    <row r="579" spans="11:12">
      <c r="K579" s="336"/>
      <c r="L579" s="336"/>
    </row>
    <row r="580" spans="11:12">
      <c r="K580" s="336"/>
      <c r="L580" s="336"/>
    </row>
    <row r="581" spans="11:12">
      <c r="K581" s="336"/>
      <c r="L581" s="336"/>
    </row>
    <row r="582" spans="11:12">
      <c r="K582" s="336"/>
      <c r="L582" s="336"/>
    </row>
    <row r="583" spans="11:12">
      <c r="K583" s="336"/>
      <c r="L583" s="336"/>
    </row>
    <row r="584" spans="11:12">
      <c r="K584" s="336"/>
      <c r="L584" s="336"/>
    </row>
    <row r="585" spans="11:12">
      <c r="K585" s="336"/>
      <c r="L585" s="336"/>
    </row>
    <row r="586" spans="11:12">
      <c r="K586" s="336"/>
      <c r="L586" s="336"/>
    </row>
    <row r="587" spans="11:12">
      <c r="K587" s="336"/>
      <c r="L587" s="336"/>
    </row>
    <row r="588" spans="11:12">
      <c r="K588" s="336"/>
      <c r="L588" s="336"/>
    </row>
    <row r="589" spans="11:12">
      <c r="K589" s="336"/>
      <c r="L589" s="336"/>
    </row>
    <row r="590" spans="11:12">
      <c r="K590" s="336"/>
      <c r="L590" s="336"/>
    </row>
    <row r="591" spans="11:12">
      <c r="K591" s="336"/>
      <c r="L591" s="336"/>
    </row>
    <row r="592" spans="11:12">
      <c r="K592" s="336"/>
      <c r="L592" s="336"/>
    </row>
    <row r="593" spans="11:12">
      <c r="K593" s="336"/>
      <c r="L593" s="336"/>
    </row>
    <row r="594" spans="11:12">
      <c r="K594" s="336"/>
      <c r="L594" s="336"/>
    </row>
    <row r="595" spans="11:12">
      <c r="K595" s="336"/>
      <c r="L595" s="336"/>
    </row>
    <row r="596" spans="11:12">
      <c r="K596" s="336"/>
      <c r="L596" s="336"/>
    </row>
    <row r="597" spans="11:12">
      <c r="K597" s="336"/>
      <c r="L597" s="336"/>
    </row>
    <row r="598" spans="11:12">
      <c r="K598" s="336"/>
      <c r="L598" s="336"/>
    </row>
    <row r="599" spans="11:12">
      <c r="K599" s="336"/>
      <c r="L599" s="336"/>
    </row>
    <row r="600" spans="11:12">
      <c r="K600" s="336"/>
      <c r="L600" s="336"/>
    </row>
    <row r="601" spans="11:12">
      <c r="K601" s="336"/>
      <c r="L601" s="336"/>
    </row>
    <row r="602" spans="11:12">
      <c r="K602" s="336"/>
      <c r="L602" s="336"/>
    </row>
    <row r="603" spans="11:12">
      <c r="K603" s="336"/>
      <c r="L603" s="336"/>
    </row>
    <row r="604" spans="11:12">
      <c r="K604" s="336"/>
      <c r="L604" s="336"/>
    </row>
    <row r="605" spans="11:12">
      <c r="K605" s="336"/>
      <c r="L605" s="336"/>
    </row>
    <row r="606" spans="11:12">
      <c r="K606" s="336"/>
      <c r="L606" s="336"/>
    </row>
    <row r="607" spans="11:12">
      <c r="K607" s="336"/>
      <c r="L607" s="336"/>
    </row>
    <row r="608" spans="11:12">
      <c r="K608" s="336"/>
      <c r="L608" s="336"/>
    </row>
    <row r="609" spans="11:12">
      <c r="K609" s="336"/>
      <c r="L609" s="336"/>
    </row>
    <row r="610" spans="11:12">
      <c r="K610" s="336"/>
      <c r="L610" s="336"/>
    </row>
    <row r="611" spans="11:12">
      <c r="K611" s="336"/>
      <c r="L611" s="336"/>
    </row>
    <row r="612" spans="11:12">
      <c r="K612" s="336"/>
      <c r="L612" s="336"/>
    </row>
    <row r="613" spans="11:12">
      <c r="K613" s="336"/>
      <c r="L613" s="336"/>
    </row>
    <row r="614" spans="11:12">
      <c r="K614" s="336"/>
      <c r="L614" s="336"/>
    </row>
    <row r="615" spans="11:12">
      <c r="K615" s="336"/>
      <c r="L615" s="336"/>
    </row>
    <row r="616" spans="11:12">
      <c r="K616" s="336"/>
      <c r="L616" s="336"/>
    </row>
    <row r="617" spans="11:12">
      <c r="K617" s="336"/>
      <c r="L617" s="336"/>
    </row>
    <row r="618" spans="11:12">
      <c r="K618" s="336"/>
      <c r="L618" s="336"/>
    </row>
    <row r="619" spans="11:12">
      <c r="K619" s="336"/>
      <c r="L619" s="336"/>
    </row>
    <row r="620" spans="11:12">
      <c r="K620" s="336"/>
      <c r="L620" s="336"/>
    </row>
    <row r="621" spans="11:12">
      <c r="K621" s="336"/>
      <c r="L621" s="336"/>
    </row>
    <row r="622" spans="11:12">
      <c r="K622" s="336"/>
      <c r="L622" s="336"/>
    </row>
    <row r="623" spans="11:12">
      <c r="K623" s="336"/>
      <c r="L623" s="336"/>
    </row>
    <row r="624" spans="11:12">
      <c r="K624" s="336"/>
      <c r="L624" s="336"/>
    </row>
    <row r="625" spans="11:12">
      <c r="K625" s="336"/>
      <c r="L625" s="336"/>
    </row>
    <row r="626" spans="11:12">
      <c r="K626" s="336"/>
      <c r="L626" s="336"/>
    </row>
    <row r="627" spans="11:12">
      <c r="K627" s="336"/>
      <c r="L627" s="336"/>
    </row>
    <row r="628" spans="11:12">
      <c r="K628" s="336"/>
      <c r="L628" s="336"/>
    </row>
    <row r="629" spans="11:12">
      <c r="K629" s="336"/>
      <c r="L629" s="336"/>
    </row>
    <row r="630" spans="11:12">
      <c r="K630" s="336"/>
      <c r="L630" s="336"/>
    </row>
    <row r="631" spans="11:12">
      <c r="K631" s="336"/>
      <c r="L631" s="336"/>
    </row>
    <row r="632" spans="11:12">
      <c r="K632" s="336"/>
      <c r="L632" s="336"/>
    </row>
    <row r="633" spans="11:12">
      <c r="K633" s="336"/>
      <c r="L633" s="336"/>
    </row>
    <row r="634" spans="11:12">
      <c r="K634" s="336"/>
      <c r="L634" s="336"/>
    </row>
    <row r="635" spans="11:12">
      <c r="K635" s="336"/>
      <c r="L635" s="336"/>
    </row>
    <row r="636" spans="11:12">
      <c r="K636" s="336"/>
      <c r="L636" s="336"/>
    </row>
    <row r="637" spans="11:12">
      <c r="K637" s="336"/>
      <c r="L637" s="336"/>
    </row>
    <row r="638" spans="11:12">
      <c r="K638" s="336"/>
      <c r="L638" s="336"/>
    </row>
    <row r="639" spans="11:12">
      <c r="K639" s="336"/>
      <c r="L639" s="336"/>
    </row>
    <row r="640" spans="11:12">
      <c r="K640" s="336"/>
      <c r="L640" s="336"/>
    </row>
    <row r="641" spans="11:12">
      <c r="K641" s="336"/>
      <c r="L641" s="336"/>
    </row>
    <row r="642" spans="11:12">
      <c r="K642" s="336"/>
      <c r="L642" s="336"/>
    </row>
    <row r="643" spans="11:12">
      <c r="K643" s="336"/>
      <c r="L643" s="336"/>
    </row>
    <row r="644" spans="11:12">
      <c r="K644" s="336"/>
      <c r="L644" s="336"/>
    </row>
    <row r="645" spans="11:12">
      <c r="K645" s="336"/>
      <c r="L645" s="336"/>
    </row>
    <row r="646" spans="11:12">
      <c r="K646" s="336"/>
      <c r="L646" s="336"/>
    </row>
    <row r="647" spans="11:12">
      <c r="K647" s="336"/>
      <c r="L647" s="336"/>
    </row>
    <row r="648" spans="11:12">
      <c r="K648" s="336"/>
      <c r="L648" s="336"/>
    </row>
    <row r="649" spans="11:12">
      <c r="K649" s="336"/>
      <c r="L649" s="336"/>
    </row>
    <row r="650" spans="11:12">
      <c r="K650" s="336"/>
      <c r="L650" s="336"/>
    </row>
    <row r="651" spans="11:12">
      <c r="K651" s="336"/>
      <c r="L651" s="336"/>
    </row>
    <row r="652" spans="11:12">
      <c r="K652" s="336"/>
      <c r="L652" s="336"/>
    </row>
    <row r="653" spans="11:12">
      <c r="K653" s="336"/>
      <c r="L653" s="336"/>
    </row>
    <row r="654" spans="11:12">
      <c r="K654" s="336"/>
      <c r="L654" s="336"/>
    </row>
    <row r="655" spans="11:12">
      <c r="K655" s="336"/>
      <c r="L655" s="336"/>
    </row>
    <row r="656" spans="11:12">
      <c r="K656" s="336"/>
      <c r="L656" s="336"/>
    </row>
    <row r="657" spans="11:12">
      <c r="K657" s="336"/>
      <c r="L657" s="336"/>
    </row>
    <row r="658" spans="11:12">
      <c r="K658" s="336"/>
      <c r="L658" s="336"/>
    </row>
    <row r="659" spans="11:12">
      <c r="K659" s="336"/>
      <c r="L659" s="336"/>
    </row>
    <row r="660" spans="11:12">
      <c r="K660" s="336"/>
      <c r="L660" s="336"/>
    </row>
    <row r="661" spans="11:12">
      <c r="K661" s="336"/>
      <c r="L661" s="336"/>
    </row>
    <row r="662" spans="11:12">
      <c r="K662" s="336"/>
      <c r="L662" s="336"/>
    </row>
    <row r="663" spans="11:12">
      <c r="K663" s="336"/>
      <c r="L663" s="336"/>
    </row>
    <row r="664" spans="11:12">
      <c r="K664" s="336"/>
      <c r="L664" s="336"/>
    </row>
    <row r="665" spans="11:12">
      <c r="K665" s="336"/>
      <c r="L665" s="336"/>
    </row>
    <row r="666" spans="11:12">
      <c r="K666" s="336"/>
      <c r="L666" s="336"/>
    </row>
    <row r="667" spans="11:12">
      <c r="K667" s="336"/>
      <c r="L667" s="336"/>
    </row>
    <row r="668" spans="11:12">
      <c r="K668" s="336"/>
      <c r="L668" s="336"/>
    </row>
    <row r="669" spans="11:12">
      <c r="K669" s="336"/>
      <c r="L669" s="336"/>
    </row>
    <row r="670" spans="11:12">
      <c r="K670" s="336"/>
      <c r="L670" s="336"/>
    </row>
    <row r="671" spans="11:12">
      <c r="K671" s="336"/>
      <c r="L671" s="336"/>
    </row>
    <row r="672" spans="11:12">
      <c r="K672" s="336"/>
      <c r="L672" s="336"/>
    </row>
    <row r="673" spans="11:12">
      <c r="K673" s="336"/>
      <c r="L673" s="336"/>
    </row>
    <row r="674" spans="11:12">
      <c r="K674" s="336"/>
      <c r="L674" s="336"/>
    </row>
    <row r="675" spans="11:12">
      <c r="K675" s="336"/>
      <c r="L675" s="336"/>
    </row>
    <row r="676" spans="11:12">
      <c r="K676" s="336"/>
      <c r="L676" s="336"/>
    </row>
    <row r="677" spans="11:12">
      <c r="K677" s="336"/>
      <c r="L677" s="336"/>
    </row>
    <row r="678" spans="11:12">
      <c r="K678" s="336"/>
      <c r="L678" s="336"/>
    </row>
    <row r="679" spans="11:12">
      <c r="K679" s="336"/>
      <c r="L679" s="336"/>
    </row>
    <row r="680" spans="11:12">
      <c r="K680" s="336"/>
      <c r="L680" s="336"/>
    </row>
    <row r="681" spans="11:12">
      <c r="K681" s="336"/>
      <c r="L681" s="336"/>
    </row>
    <row r="682" spans="11:12">
      <c r="K682" s="336"/>
      <c r="L682" s="336"/>
    </row>
    <row r="683" spans="11:12">
      <c r="K683" s="336"/>
      <c r="L683" s="336"/>
    </row>
    <row r="684" spans="11:12">
      <c r="K684" s="336"/>
      <c r="L684" s="336"/>
    </row>
    <row r="685" spans="11:12">
      <c r="K685" s="336"/>
      <c r="L685" s="336"/>
    </row>
    <row r="686" spans="11:12">
      <c r="K686" s="336"/>
      <c r="L686" s="336"/>
    </row>
    <row r="687" spans="11:12">
      <c r="K687" s="336"/>
      <c r="L687" s="336"/>
    </row>
    <row r="688" spans="11:12">
      <c r="K688" s="336"/>
      <c r="L688" s="336"/>
    </row>
    <row r="689" spans="11:12">
      <c r="K689" s="336"/>
      <c r="L689" s="336"/>
    </row>
    <row r="690" spans="11:12">
      <c r="K690" s="336"/>
      <c r="L690" s="336"/>
    </row>
    <row r="691" spans="11:12">
      <c r="K691" s="336"/>
      <c r="L691" s="336"/>
    </row>
    <row r="692" spans="11:12">
      <c r="K692" s="336"/>
      <c r="L692" s="336"/>
    </row>
    <row r="693" spans="11:12">
      <c r="K693" s="336"/>
      <c r="L693" s="336"/>
    </row>
    <row r="694" spans="11:12">
      <c r="K694" s="336"/>
      <c r="L694" s="336"/>
    </row>
    <row r="695" spans="11:12">
      <c r="K695" s="336"/>
      <c r="L695" s="336"/>
    </row>
    <row r="696" spans="11:12">
      <c r="K696" s="336"/>
      <c r="L696" s="336"/>
    </row>
    <row r="697" spans="11:12">
      <c r="K697" s="336"/>
      <c r="L697" s="336"/>
    </row>
    <row r="698" spans="11:12">
      <c r="K698" s="336"/>
      <c r="L698" s="336"/>
    </row>
    <row r="699" spans="11:12">
      <c r="K699" s="336"/>
      <c r="L699" s="336"/>
    </row>
    <row r="700" spans="11:12">
      <c r="K700" s="336"/>
      <c r="L700" s="336"/>
    </row>
    <row r="701" spans="11:12">
      <c r="K701" s="336"/>
      <c r="L701" s="336"/>
    </row>
    <row r="702" spans="11:12">
      <c r="K702" s="336"/>
      <c r="L702" s="336"/>
    </row>
    <row r="703" spans="11:12">
      <c r="K703" s="336"/>
      <c r="L703" s="336"/>
    </row>
    <row r="704" spans="11:12">
      <c r="K704" s="336"/>
      <c r="L704" s="336"/>
    </row>
    <row r="705" spans="11:12">
      <c r="K705" s="336"/>
      <c r="L705" s="336"/>
    </row>
    <row r="706" spans="11:12">
      <c r="K706" s="336"/>
      <c r="L706" s="336"/>
    </row>
    <row r="707" spans="11:12">
      <c r="K707" s="336"/>
      <c r="L707" s="336"/>
    </row>
    <row r="708" spans="11:12">
      <c r="K708" s="336"/>
      <c r="L708" s="336"/>
    </row>
    <row r="709" spans="11:12">
      <c r="K709" s="336"/>
      <c r="L709" s="336"/>
    </row>
    <row r="710" spans="11:12">
      <c r="K710" s="336"/>
      <c r="L710" s="336"/>
    </row>
    <row r="711" spans="11:12">
      <c r="K711" s="336"/>
      <c r="L711" s="336"/>
    </row>
    <row r="712" spans="11:12">
      <c r="K712" s="336"/>
      <c r="L712" s="336"/>
    </row>
    <row r="713" spans="11:12">
      <c r="K713" s="336"/>
      <c r="L713" s="336"/>
    </row>
    <row r="714" spans="11:12">
      <c r="K714" s="336"/>
      <c r="L714" s="336"/>
    </row>
    <row r="715" spans="11:12">
      <c r="K715" s="336"/>
      <c r="L715" s="336"/>
    </row>
    <row r="716" spans="11:12">
      <c r="K716" s="336"/>
      <c r="L716" s="336"/>
    </row>
    <row r="717" spans="11:12">
      <c r="K717" s="336"/>
      <c r="L717" s="336"/>
    </row>
    <row r="718" spans="11:12">
      <c r="K718" s="336"/>
      <c r="L718" s="336"/>
    </row>
    <row r="719" spans="11:12">
      <c r="K719" s="336"/>
      <c r="L719" s="336"/>
    </row>
    <row r="720" spans="11:12">
      <c r="K720" s="336"/>
      <c r="L720" s="336"/>
    </row>
    <row r="721" spans="11:12">
      <c r="K721" s="336"/>
      <c r="L721" s="336"/>
    </row>
    <row r="722" spans="11:12">
      <c r="K722" s="336"/>
      <c r="L722" s="336"/>
    </row>
    <row r="723" spans="11:12">
      <c r="K723" s="336"/>
      <c r="L723" s="336"/>
    </row>
    <row r="724" spans="11:12">
      <c r="K724" s="336"/>
      <c r="L724" s="336"/>
    </row>
    <row r="725" spans="11:12">
      <c r="K725" s="336"/>
      <c r="L725" s="336"/>
    </row>
    <row r="726" spans="11:12">
      <c r="K726" s="336"/>
      <c r="L726" s="336"/>
    </row>
    <row r="727" spans="11:12">
      <c r="K727" s="336"/>
      <c r="L727" s="336"/>
    </row>
    <row r="728" spans="11:12">
      <c r="K728" s="336"/>
      <c r="L728" s="336"/>
    </row>
    <row r="729" spans="11:12">
      <c r="K729" s="336"/>
      <c r="L729" s="336"/>
    </row>
    <row r="730" spans="11:12">
      <c r="K730" s="336"/>
      <c r="L730" s="336"/>
    </row>
    <row r="731" spans="11:12">
      <c r="K731" s="336"/>
      <c r="L731" s="336"/>
    </row>
    <row r="732" spans="11:12">
      <c r="K732" s="336"/>
      <c r="L732" s="336"/>
    </row>
    <row r="733" spans="11:12">
      <c r="K733" s="336"/>
      <c r="L733" s="336"/>
    </row>
    <row r="734" spans="11:12">
      <c r="K734" s="336"/>
      <c r="L734" s="336"/>
    </row>
    <row r="735" spans="11:12">
      <c r="K735" s="336"/>
      <c r="L735" s="336"/>
    </row>
    <row r="736" spans="11:12">
      <c r="K736" s="336"/>
      <c r="L736" s="336"/>
    </row>
    <row r="737" spans="11:12">
      <c r="K737" s="336"/>
      <c r="L737" s="336"/>
    </row>
    <row r="738" spans="11:12">
      <c r="K738" s="336"/>
      <c r="L738" s="336"/>
    </row>
    <row r="739" spans="11:12">
      <c r="K739" s="336"/>
      <c r="L739" s="336"/>
    </row>
    <row r="740" spans="11:12">
      <c r="K740" s="336"/>
      <c r="L740" s="336"/>
    </row>
    <row r="741" spans="11:12">
      <c r="K741" s="336"/>
      <c r="L741" s="336"/>
    </row>
    <row r="742" spans="11:12">
      <c r="K742" s="336"/>
      <c r="L742" s="336"/>
    </row>
    <row r="743" spans="11:12">
      <c r="K743" s="336"/>
      <c r="L743" s="336"/>
    </row>
    <row r="744" spans="11:12">
      <c r="K744" s="336"/>
      <c r="L744" s="336"/>
    </row>
    <row r="745" spans="11:12">
      <c r="K745" s="336"/>
      <c r="L745" s="336"/>
    </row>
    <row r="746" spans="11:12">
      <c r="K746" s="336"/>
      <c r="L746" s="336"/>
    </row>
    <row r="747" spans="11:12">
      <c r="K747" s="336"/>
      <c r="L747" s="336"/>
    </row>
    <row r="748" spans="11:12">
      <c r="K748" s="336"/>
      <c r="L748" s="336"/>
    </row>
    <row r="749" spans="11:12">
      <c r="K749" s="336"/>
      <c r="L749" s="336"/>
    </row>
    <row r="750" spans="11:12">
      <c r="K750" s="336"/>
      <c r="L750" s="336"/>
    </row>
    <row r="751" spans="11:12">
      <c r="K751" s="336"/>
      <c r="L751" s="336"/>
    </row>
    <row r="752" spans="11:12">
      <c r="K752" s="336"/>
      <c r="L752" s="336"/>
    </row>
    <row r="753" spans="11:12">
      <c r="K753" s="336"/>
      <c r="L753" s="336"/>
    </row>
    <row r="754" spans="11:12">
      <c r="K754" s="336"/>
      <c r="L754" s="336"/>
    </row>
    <row r="755" spans="11:12">
      <c r="K755" s="336"/>
      <c r="L755" s="336"/>
    </row>
    <row r="756" spans="11:12">
      <c r="K756" s="336"/>
      <c r="L756" s="336"/>
    </row>
    <row r="757" spans="11:12">
      <c r="K757" s="336"/>
      <c r="L757" s="336"/>
    </row>
    <row r="758" spans="11:12">
      <c r="K758" s="336"/>
      <c r="L758" s="336"/>
    </row>
    <row r="759" spans="11:12">
      <c r="K759" s="336"/>
      <c r="L759" s="336"/>
    </row>
    <row r="760" spans="11:12">
      <c r="K760" s="336"/>
      <c r="L760" s="336"/>
    </row>
    <row r="761" spans="11:12">
      <c r="K761" s="336"/>
      <c r="L761" s="336"/>
    </row>
    <row r="762" spans="11:12">
      <c r="K762" s="336"/>
      <c r="L762" s="336"/>
    </row>
    <row r="763" spans="11:12">
      <c r="K763" s="336"/>
      <c r="L763" s="336"/>
    </row>
    <row r="764" spans="11:12">
      <c r="K764" s="336"/>
      <c r="L764" s="336"/>
    </row>
    <row r="765" spans="11:12">
      <c r="K765" s="336"/>
      <c r="L765" s="336"/>
    </row>
    <row r="766" spans="11:12">
      <c r="K766" s="336"/>
      <c r="L766" s="336"/>
    </row>
    <row r="767" spans="11:12">
      <c r="K767" s="336"/>
      <c r="L767" s="336"/>
    </row>
    <row r="768" spans="11:12">
      <c r="K768" s="336"/>
      <c r="L768" s="336"/>
    </row>
    <row r="769" spans="11:12">
      <c r="K769" s="336"/>
      <c r="L769" s="336"/>
    </row>
    <row r="770" spans="11:12">
      <c r="K770" s="336"/>
      <c r="L770" s="336"/>
    </row>
    <row r="771" spans="11:12">
      <c r="K771" s="336"/>
      <c r="L771" s="336"/>
    </row>
    <row r="772" spans="11:12">
      <c r="K772" s="336"/>
      <c r="L772" s="336"/>
    </row>
    <row r="773" spans="11:12">
      <c r="K773" s="336"/>
      <c r="L773" s="336"/>
    </row>
    <row r="774" spans="11:12">
      <c r="K774" s="336"/>
      <c r="L774" s="336"/>
    </row>
    <row r="775" spans="11:12">
      <c r="K775" s="336"/>
      <c r="L775" s="336"/>
    </row>
    <row r="776" spans="11:12">
      <c r="K776" s="336"/>
      <c r="L776" s="336"/>
    </row>
    <row r="777" spans="11:12">
      <c r="K777" s="336"/>
      <c r="L777" s="336"/>
    </row>
    <row r="778" spans="11:12">
      <c r="K778" s="336"/>
      <c r="L778" s="336"/>
    </row>
    <row r="779" spans="11:12">
      <c r="K779" s="336"/>
      <c r="L779" s="336"/>
    </row>
    <row r="780" spans="11:12">
      <c r="K780" s="336"/>
      <c r="L780" s="336"/>
    </row>
    <row r="781" spans="11:12">
      <c r="K781" s="336"/>
      <c r="L781" s="336"/>
    </row>
    <row r="782" spans="11:12">
      <c r="K782" s="336"/>
      <c r="L782" s="336"/>
    </row>
    <row r="783" spans="11:12">
      <c r="K783" s="336"/>
      <c r="L783" s="336"/>
    </row>
    <row r="784" spans="11:12">
      <c r="K784" s="336"/>
      <c r="L784" s="336"/>
    </row>
    <row r="785" spans="11:12">
      <c r="K785" s="336"/>
      <c r="L785" s="336"/>
    </row>
    <row r="786" spans="11:12">
      <c r="K786" s="336"/>
      <c r="L786" s="336"/>
    </row>
    <row r="787" spans="11:12">
      <c r="K787" s="336"/>
      <c r="L787" s="336"/>
    </row>
    <row r="788" spans="11:12">
      <c r="K788" s="336"/>
      <c r="L788" s="336"/>
    </row>
    <row r="789" spans="11:12">
      <c r="K789" s="336"/>
      <c r="L789" s="336"/>
    </row>
    <row r="790" spans="11:12">
      <c r="K790" s="336"/>
      <c r="L790" s="336"/>
    </row>
    <row r="791" spans="11:12">
      <c r="K791" s="336"/>
      <c r="L791" s="336"/>
    </row>
    <row r="792" spans="11:12">
      <c r="K792" s="336"/>
      <c r="L792" s="336"/>
    </row>
    <row r="793" spans="11:12">
      <c r="K793" s="336"/>
      <c r="L793" s="336"/>
    </row>
    <row r="794" spans="11:12">
      <c r="K794" s="336"/>
      <c r="L794" s="336"/>
    </row>
    <row r="795" spans="11:12">
      <c r="K795" s="336"/>
      <c r="L795" s="336"/>
    </row>
    <row r="796" spans="11:12">
      <c r="K796" s="336"/>
      <c r="L796" s="336"/>
    </row>
    <row r="797" spans="11:12">
      <c r="K797" s="336"/>
      <c r="L797" s="336"/>
    </row>
    <row r="798" spans="11:12">
      <c r="K798" s="336"/>
      <c r="L798" s="336"/>
    </row>
    <row r="799" spans="11:12">
      <c r="K799" s="336"/>
      <c r="L799" s="336"/>
    </row>
    <row r="800" spans="11:12">
      <c r="K800" s="336"/>
      <c r="L800" s="336"/>
    </row>
    <row r="801" spans="11:12">
      <c r="K801" s="336"/>
      <c r="L801" s="336"/>
    </row>
    <row r="802" spans="11:12">
      <c r="K802" s="336"/>
      <c r="L802" s="336"/>
    </row>
    <row r="803" spans="11:12">
      <c r="K803" s="336"/>
      <c r="L803" s="336"/>
    </row>
    <row r="804" spans="11:12">
      <c r="K804" s="336"/>
      <c r="L804" s="336"/>
    </row>
    <row r="805" spans="11:12">
      <c r="K805" s="336"/>
      <c r="L805" s="336"/>
    </row>
    <row r="806" spans="11:12">
      <c r="K806" s="336"/>
      <c r="L806" s="336"/>
    </row>
    <row r="807" spans="11:12">
      <c r="K807" s="336"/>
      <c r="L807" s="336"/>
    </row>
    <row r="808" spans="11:12">
      <c r="K808" s="336"/>
      <c r="L808" s="336"/>
    </row>
    <row r="809" spans="11:12">
      <c r="K809" s="336"/>
      <c r="L809" s="336"/>
    </row>
    <row r="810" spans="11:12">
      <c r="K810" s="336"/>
      <c r="L810" s="336"/>
    </row>
    <row r="811" spans="11:12">
      <c r="K811" s="336"/>
      <c r="L811" s="336"/>
    </row>
    <row r="812" spans="11:12">
      <c r="K812" s="336"/>
      <c r="L812" s="336"/>
    </row>
    <row r="813" spans="11:12">
      <c r="K813" s="336"/>
      <c r="L813" s="336"/>
    </row>
    <row r="814" spans="11:12">
      <c r="K814" s="336"/>
      <c r="L814" s="336"/>
    </row>
    <row r="815" spans="11:12">
      <c r="K815" s="336"/>
      <c r="L815" s="336"/>
    </row>
    <row r="816" spans="11:12">
      <c r="K816" s="336"/>
      <c r="L816" s="336"/>
    </row>
    <row r="817" spans="11:12">
      <c r="K817" s="336"/>
      <c r="L817" s="336"/>
    </row>
    <row r="818" spans="11:12">
      <c r="K818" s="336"/>
      <c r="L818" s="336"/>
    </row>
    <row r="819" spans="11:12">
      <c r="K819" s="336"/>
      <c r="L819" s="336"/>
    </row>
    <row r="820" spans="11:12">
      <c r="K820" s="336"/>
      <c r="L820" s="336"/>
    </row>
    <row r="821" spans="11:12">
      <c r="K821" s="336"/>
      <c r="L821" s="336"/>
    </row>
    <row r="822" spans="11:12">
      <c r="K822" s="336"/>
      <c r="L822" s="336"/>
    </row>
    <row r="823" spans="11:12">
      <c r="K823" s="336"/>
      <c r="L823" s="336"/>
    </row>
    <row r="824" spans="11:12">
      <c r="K824" s="336"/>
      <c r="L824" s="336"/>
    </row>
    <row r="825" spans="11:12">
      <c r="K825" s="336"/>
      <c r="L825" s="336"/>
    </row>
    <row r="826" spans="11:12">
      <c r="K826" s="336"/>
      <c r="L826" s="336"/>
    </row>
    <row r="827" spans="11:12">
      <c r="K827" s="336"/>
      <c r="L827" s="336"/>
    </row>
    <row r="828" spans="11:12">
      <c r="K828" s="336"/>
      <c r="L828" s="336"/>
    </row>
    <row r="829" spans="11:12">
      <c r="K829" s="336"/>
      <c r="L829" s="336"/>
    </row>
    <row r="830" spans="11:12">
      <c r="K830" s="336"/>
      <c r="L830" s="336"/>
    </row>
    <row r="831" spans="11:12">
      <c r="K831" s="336"/>
      <c r="L831" s="336"/>
    </row>
    <row r="832" spans="11:12">
      <c r="K832" s="336"/>
      <c r="L832" s="336"/>
    </row>
    <row r="833" spans="11:12">
      <c r="K833" s="336"/>
      <c r="L833" s="336"/>
    </row>
    <row r="834" spans="11:12">
      <c r="K834" s="336"/>
      <c r="L834" s="336"/>
    </row>
    <row r="835" spans="11:12">
      <c r="K835" s="336"/>
      <c r="L835" s="336"/>
    </row>
    <row r="836" spans="11:12">
      <c r="K836" s="336"/>
      <c r="L836" s="336"/>
    </row>
    <row r="837" spans="11:12">
      <c r="K837" s="336"/>
      <c r="L837" s="336"/>
    </row>
    <row r="838" spans="11:12">
      <c r="K838" s="336"/>
      <c r="L838" s="336"/>
    </row>
    <row r="839" spans="11:12">
      <c r="K839" s="336"/>
      <c r="L839" s="336"/>
    </row>
    <row r="840" spans="11:12">
      <c r="K840" s="336"/>
      <c r="L840" s="336"/>
    </row>
    <row r="841" spans="11:12">
      <c r="K841" s="336"/>
      <c r="L841" s="336"/>
    </row>
    <row r="842" spans="11:12">
      <c r="K842" s="336"/>
      <c r="L842" s="336"/>
    </row>
    <row r="843" spans="11:12">
      <c r="K843" s="336"/>
      <c r="L843" s="336"/>
    </row>
    <row r="844" spans="11:12">
      <c r="K844" s="336"/>
      <c r="L844" s="336"/>
    </row>
    <row r="845" spans="11:12">
      <c r="K845" s="336"/>
      <c r="L845" s="336"/>
    </row>
    <row r="846" spans="11:12">
      <c r="K846" s="336"/>
      <c r="L846" s="336"/>
    </row>
    <row r="847" spans="11:12">
      <c r="K847" s="336"/>
      <c r="L847" s="336"/>
    </row>
    <row r="848" spans="11:12">
      <c r="K848" s="336"/>
      <c r="L848" s="336"/>
    </row>
    <row r="849" spans="11:12">
      <c r="K849" s="336"/>
      <c r="L849" s="336"/>
    </row>
    <row r="850" spans="11:12">
      <c r="K850" s="336"/>
      <c r="L850" s="336"/>
    </row>
  </sheetData>
  <dataValidations count="3">
    <dataValidation type="list" allowBlank="1" showErrorMessage="1" sqref="K13" xr:uid="{43BFDE0B-8B12-46CD-98C9-759D976EA5D3}">
      <formula1>"textfield,richtextfield,radiobutton,checkbox,dropdown,file,table,fixed_table,form_text_field"</formula1>
    </dataValidation>
    <dataValidation type="list" allowBlank="1" showInputMessage="1" showErrorMessage="1" sqref="L2:L12 L53:L431 L14:L50" xr:uid="{4589008F-BE8C-47D6-BFE8-C23BC7AAF95B}">
      <formula1>"currency_usd,integer,pct,pct6,date,float,string"</formula1>
    </dataValidation>
    <dataValidation type="list" allowBlank="1" showInputMessage="1" showErrorMessage="1" sqref="K2:K12 K14:K50" xr:uid="{BA3365C2-679A-4FD0-9A07-C335937EEB3B}">
      <formula1>"checkbox,dropdown,radiobutton,richtextfield,table,textfield"</formula1>
    </dataValidation>
  </dataValidations>
  <pageMargins left="0.69930555555555596" right="0.69930555555555596"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F15A7-78A1-46A3-BF4B-32E02DEEB639}">
  <sheetPr>
    <pageSetUpPr fitToPage="1"/>
  </sheetPr>
  <dimension ref="A1:AG111"/>
  <sheetViews>
    <sheetView zoomScaleNormal="100" workbookViewId="0">
      <pane xSplit="2" ySplit="3" topLeftCell="C4" activePane="bottomRight" state="frozen"/>
      <selection pane="topRight" activeCell="C1" sqref="C1"/>
      <selection pane="bottomLeft" activeCell="A4" sqref="A4"/>
      <selection pane="bottomRight"/>
    </sheetView>
  </sheetViews>
  <sheetFormatPr defaultColWidth="8.75" defaultRowHeight="13.8" outlineLevelRow="2" outlineLevelCol="1"/>
  <cols>
    <col min="1" max="1" width="7.58203125" style="584" customWidth="1"/>
    <col min="2" max="2" width="35.75" style="584" bestFit="1" customWidth="1"/>
    <col min="3" max="3" width="10.75" style="584" customWidth="1"/>
    <col min="4" max="4" width="11.1640625" style="584" bestFit="1" customWidth="1"/>
    <col min="5" max="5" width="12.1640625" style="584" bestFit="1" customWidth="1"/>
    <col min="6" max="6" width="11.1640625" style="584" customWidth="1"/>
    <col min="7" max="7" width="12.1640625" style="584" customWidth="1"/>
    <col min="8" max="8" width="11.1640625" style="584" customWidth="1" outlineLevel="1"/>
    <col min="9" max="9" width="12.1640625" style="584" customWidth="1" outlineLevel="1"/>
    <col min="10" max="10" width="11.1640625" style="584" customWidth="1" outlineLevel="1"/>
    <col min="11" max="11" width="12.1640625" style="584" customWidth="1" outlineLevel="1"/>
    <col min="12" max="12" width="11.1640625" style="584" customWidth="1" outlineLevel="1"/>
    <col min="13" max="13" width="12.1640625" style="584" customWidth="1" outlineLevel="1"/>
    <col min="14" max="14" width="11.1640625" style="584" customWidth="1" outlineLevel="1"/>
    <col min="15" max="15" width="12.1640625" style="584" customWidth="1" outlineLevel="1"/>
    <col min="16" max="16" width="11.1640625" style="584" customWidth="1" outlineLevel="1"/>
    <col min="17" max="17" width="12.1640625" style="584" customWidth="1" outlineLevel="1"/>
    <col min="18" max="18" width="11.1640625" style="584" customWidth="1" outlineLevel="1"/>
    <col min="19" max="19" width="12.1640625" style="584" customWidth="1" outlineLevel="1"/>
    <col min="20" max="20" width="11.1640625" style="584" customWidth="1" outlineLevel="1"/>
    <col min="21" max="21" width="12.1640625" style="584" customWidth="1" outlineLevel="1"/>
    <col min="22" max="22" width="13.4140625" style="584" customWidth="1" outlineLevel="1"/>
    <col min="23" max="23" width="14.58203125" style="584" customWidth="1" outlineLevel="1"/>
    <col min="24" max="24" width="13.4140625" style="584" customWidth="1" outlineLevel="1"/>
    <col min="25" max="25" width="14.58203125" style="584" customWidth="1" outlineLevel="1"/>
    <col min="26" max="26" width="15.58203125" style="584" customWidth="1"/>
    <col min="27" max="27" width="13.25" style="584" bestFit="1" customWidth="1"/>
    <col min="28" max="29" width="11.4140625" style="584" customWidth="1"/>
    <col min="30" max="30" width="11.25" style="584" customWidth="1" outlineLevel="1"/>
    <col min="31" max="31" width="12.1640625" style="584" customWidth="1"/>
    <col min="32" max="16384" width="8.75" style="584"/>
  </cols>
  <sheetData>
    <row r="1" spans="1:31" ht="14.4" thickBot="1">
      <c r="A1" s="581" t="str">
        <f>assumptions!B2</f>
        <v>enter date</v>
      </c>
      <c r="B1" s="648" t="str">
        <f>assumptions!B1</f>
        <v>enter project name</v>
      </c>
      <c r="C1" s="649"/>
      <c r="D1" s="649"/>
      <c r="E1" s="649"/>
      <c r="F1" s="652"/>
      <c r="G1" s="652"/>
      <c r="H1" s="652"/>
      <c r="I1" s="652"/>
      <c r="J1" s="652"/>
      <c r="K1" s="652"/>
      <c r="L1" s="652"/>
      <c r="M1" s="652"/>
      <c r="N1" s="652"/>
      <c r="O1" s="652"/>
      <c r="P1" s="652"/>
      <c r="Q1" s="652"/>
      <c r="R1" s="652"/>
      <c r="S1" s="652"/>
      <c r="T1" s="652"/>
      <c r="U1" s="652"/>
      <c r="V1" s="652"/>
      <c r="W1" s="652"/>
      <c r="X1" s="652"/>
      <c r="Y1" s="652"/>
      <c r="Z1" s="678" t="s">
        <v>374</v>
      </c>
      <c r="AA1" s="652"/>
      <c r="AB1" s="652"/>
      <c r="AC1" s="652"/>
      <c r="AD1" s="652"/>
      <c r="AE1" s="652"/>
    </row>
    <row r="2" spans="1:31" ht="14.4" thickTop="1">
      <c r="A2" s="581"/>
      <c r="B2" s="679"/>
      <c r="C2" s="680"/>
      <c r="D2" s="681" t="s">
        <v>466</v>
      </c>
      <c r="E2" s="681"/>
      <c r="F2" s="682" t="s">
        <v>377</v>
      </c>
      <c r="G2" s="682"/>
      <c r="H2" s="682" t="s">
        <v>378</v>
      </c>
      <c r="I2" s="682"/>
      <c r="J2" s="682" t="s">
        <v>379</v>
      </c>
      <c r="K2" s="682"/>
      <c r="L2" s="682" t="s">
        <v>380</v>
      </c>
      <c r="M2" s="682"/>
      <c r="N2" s="682" t="s">
        <v>381</v>
      </c>
      <c r="O2" s="682"/>
      <c r="P2" s="682" t="s">
        <v>382</v>
      </c>
      <c r="Q2" s="682"/>
      <c r="R2" s="682" t="s">
        <v>383</v>
      </c>
      <c r="S2" s="682"/>
      <c r="T2" s="682" t="s">
        <v>384</v>
      </c>
      <c r="U2" s="682"/>
      <c r="V2" s="682" t="s">
        <v>385</v>
      </c>
      <c r="W2" s="682"/>
      <c r="X2" s="682" t="s">
        <v>386</v>
      </c>
      <c r="Y2" s="682"/>
    </row>
    <row r="3" spans="1:31" ht="26.4">
      <c r="C3" s="683" t="str">
        <f>'sources-uses'!C3</f>
        <v>Total Budget</v>
      </c>
      <c r="D3" s="683" t="s">
        <v>467</v>
      </c>
      <c r="E3" s="683" t="s">
        <v>468</v>
      </c>
      <c r="F3" s="684" t="s">
        <v>467</v>
      </c>
      <c r="G3" s="684" t="s">
        <v>468</v>
      </c>
      <c r="H3" s="684" t="s">
        <v>467</v>
      </c>
      <c r="I3" s="684" t="s">
        <v>468</v>
      </c>
      <c r="J3" s="684" t="s">
        <v>467</v>
      </c>
      <c r="K3" s="684" t="s">
        <v>468</v>
      </c>
      <c r="L3" s="684" t="s">
        <v>467</v>
      </c>
      <c r="M3" s="684" t="s">
        <v>468</v>
      </c>
      <c r="N3" s="684" t="s">
        <v>467</v>
      </c>
      <c r="O3" s="684" t="s">
        <v>468</v>
      </c>
      <c r="P3" s="684" t="s">
        <v>467</v>
      </c>
      <c r="Q3" s="684" t="s">
        <v>468</v>
      </c>
      <c r="R3" s="684" t="s">
        <v>467</v>
      </c>
      <c r="S3" s="684" t="s">
        <v>468</v>
      </c>
      <c r="T3" s="684" t="s">
        <v>467</v>
      </c>
      <c r="U3" s="684" t="s">
        <v>468</v>
      </c>
      <c r="V3" s="684" t="s">
        <v>467</v>
      </c>
      <c r="W3" s="684" t="s">
        <v>468</v>
      </c>
      <c r="X3" s="684" t="s">
        <v>467</v>
      </c>
      <c r="Y3" s="684" t="s">
        <v>468</v>
      </c>
      <c r="Z3" s="684" t="s">
        <v>469</v>
      </c>
      <c r="AA3" s="684" t="s">
        <v>470</v>
      </c>
      <c r="AB3" s="300" t="s">
        <v>471</v>
      </c>
      <c r="AC3" s="300" t="s">
        <v>472</v>
      </c>
      <c r="AD3" s="300" t="s">
        <v>473</v>
      </c>
      <c r="AE3" s="684" t="s">
        <v>474</v>
      </c>
    </row>
    <row r="4" spans="1:31" s="658" customFormat="1">
      <c r="B4" s="685" t="str">
        <f>'sources-uses'!B4</f>
        <v>ACQUISITION</v>
      </c>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row>
    <row r="5" spans="1:31">
      <c r="A5" s="686"/>
      <c r="B5" s="590" t="str">
        <f>'sources-uses'!B5</f>
        <v>Land</v>
      </c>
      <c r="C5" s="97">
        <f>'project budget'!C5</f>
        <v>0</v>
      </c>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6">
        <v>0</v>
      </c>
      <c r="AE5" s="97">
        <f>C5</f>
        <v>0</v>
      </c>
    </row>
    <row r="6" spans="1:31">
      <c r="A6" s="686"/>
      <c r="B6" s="590" t="str">
        <f>'sources-uses'!B6</f>
        <v>Purchase of Building</v>
      </c>
      <c r="C6" s="97">
        <f>'project budget'!C6</f>
        <v>0</v>
      </c>
      <c r="D6" s="97">
        <f>SUM(F6:Y6)</f>
        <v>0</v>
      </c>
      <c r="E6" s="120"/>
      <c r="F6" s="97">
        <f>'project budget'!D6</f>
        <v>0</v>
      </c>
      <c r="G6" s="120"/>
      <c r="H6" s="97">
        <f>'project budget'!$E$6</f>
        <v>0</v>
      </c>
      <c r="I6" s="120"/>
      <c r="J6" s="97">
        <f>'project budget'!$F6</f>
        <v>0</v>
      </c>
      <c r="K6" s="120"/>
      <c r="L6" s="97">
        <f>'project budget'!$G6</f>
        <v>0</v>
      </c>
      <c r="M6" s="120"/>
      <c r="N6" s="97">
        <f>'project budget'!$H6</f>
        <v>0</v>
      </c>
      <c r="O6" s="120"/>
      <c r="P6" s="97">
        <f>'project budget'!$I6</f>
        <v>0</v>
      </c>
      <c r="Q6" s="120"/>
      <c r="R6" s="97">
        <f>'project budget'!$J6</f>
        <v>0</v>
      </c>
      <c r="S6" s="120"/>
      <c r="T6" s="97">
        <f>'project budget'!$K6</f>
        <v>0</v>
      </c>
      <c r="U6" s="120"/>
      <c r="V6" s="97">
        <f>'project budget'!$L6</f>
        <v>0</v>
      </c>
      <c r="W6" s="120"/>
      <c r="X6" s="97">
        <f>'project budget'!$M6</f>
        <v>0</v>
      </c>
      <c r="Y6" s="120"/>
      <c r="Z6" s="97">
        <f>$C6</f>
        <v>0</v>
      </c>
      <c r="AA6" s="97">
        <f t="shared" ref="Z6:AA12" si="0">$C6</f>
        <v>0</v>
      </c>
      <c r="AB6" s="120"/>
      <c r="AC6" s="120"/>
      <c r="AD6" s="6">
        <v>0</v>
      </c>
      <c r="AE6" s="97">
        <f t="shared" ref="AE6:AE12" si="1">C6</f>
        <v>0</v>
      </c>
    </row>
    <row r="7" spans="1:31">
      <c r="A7" s="686"/>
      <c r="B7" s="687" t="str">
        <f>'sources-uses'!B7</f>
        <v>Demolition (without replacement)</v>
      </c>
      <c r="C7" s="97">
        <f>'project budget'!C7</f>
        <v>0</v>
      </c>
      <c r="D7" s="120"/>
      <c r="E7" s="120"/>
      <c r="F7" s="120"/>
      <c r="G7" s="120"/>
      <c r="H7" s="120"/>
      <c r="I7" s="120"/>
      <c r="J7" s="120"/>
      <c r="K7" s="120"/>
      <c r="L7" s="120"/>
      <c r="M7" s="120"/>
      <c r="N7" s="120"/>
      <c r="O7" s="120"/>
      <c r="P7" s="120"/>
      <c r="Q7" s="120"/>
      <c r="R7" s="120"/>
      <c r="S7" s="120"/>
      <c r="T7" s="120"/>
      <c r="U7" s="120"/>
      <c r="V7" s="120"/>
      <c r="W7" s="120"/>
      <c r="X7" s="120"/>
      <c r="Y7" s="120"/>
      <c r="Z7" s="97">
        <f t="shared" si="0"/>
        <v>0</v>
      </c>
      <c r="AA7" s="97">
        <f t="shared" si="0"/>
        <v>0</v>
      </c>
      <c r="AB7" s="120"/>
      <c r="AC7" s="120"/>
      <c r="AD7" s="6">
        <v>0</v>
      </c>
      <c r="AE7" s="97">
        <f t="shared" si="1"/>
        <v>0</v>
      </c>
    </row>
    <row r="8" spans="1:31">
      <c r="A8" s="686"/>
      <c r="B8" s="687" t="str">
        <f>'sources-uses'!B8</f>
        <v>Appraisal</v>
      </c>
      <c r="C8" s="97">
        <f>'project budget'!C8</f>
        <v>0</v>
      </c>
      <c r="D8" s="97">
        <f>SUM(F8:Y8)</f>
        <v>0</v>
      </c>
      <c r="E8" s="120"/>
      <c r="F8" s="97">
        <f>'project budget'!$D8</f>
        <v>0</v>
      </c>
      <c r="G8" s="120"/>
      <c r="H8" s="97">
        <f>'project budget'!$E8</f>
        <v>0</v>
      </c>
      <c r="I8" s="120"/>
      <c r="J8" s="97">
        <f>'project budget'!$F8</f>
        <v>0</v>
      </c>
      <c r="K8" s="120"/>
      <c r="L8" s="97">
        <f>'project budget'!$G8</f>
        <v>0</v>
      </c>
      <c r="M8" s="120"/>
      <c r="N8" s="97">
        <f>'project budget'!$H8</f>
        <v>0</v>
      </c>
      <c r="O8" s="120"/>
      <c r="P8" s="97">
        <f>'project budget'!$I8</f>
        <v>0</v>
      </c>
      <c r="Q8" s="120"/>
      <c r="R8" s="97">
        <f>'project budget'!$J8</f>
        <v>0</v>
      </c>
      <c r="S8" s="120"/>
      <c r="T8" s="97">
        <f>'project budget'!$K8</f>
        <v>0</v>
      </c>
      <c r="U8" s="120"/>
      <c r="V8" s="97">
        <f>'project budget'!$L8</f>
        <v>0</v>
      </c>
      <c r="W8" s="120"/>
      <c r="X8" s="97">
        <f>'project budget'!$M8</f>
        <v>0</v>
      </c>
      <c r="Y8" s="120"/>
      <c r="Z8" s="97">
        <f t="shared" si="0"/>
        <v>0</v>
      </c>
      <c r="AA8" s="97">
        <f t="shared" si="0"/>
        <v>0</v>
      </c>
      <c r="AB8" s="120"/>
      <c r="AC8" s="120"/>
      <c r="AD8" s="6">
        <v>0</v>
      </c>
      <c r="AE8" s="97">
        <f t="shared" si="1"/>
        <v>0</v>
      </c>
    </row>
    <row r="9" spans="1:31">
      <c r="A9" s="686"/>
      <c r="B9" s="590" t="str">
        <f>'sources-uses'!B9</f>
        <v>Legal - Title and Recording</v>
      </c>
      <c r="C9" s="143">
        <f>'project budget'!C9</f>
        <v>0</v>
      </c>
      <c r="D9" s="97">
        <f>SUM(F9:Y9)</f>
        <v>0</v>
      </c>
      <c r="E9" s="180"/>
      <c r="F9" s="97">
        <f>'project budget'!$D9</f>
        <v>0</v>
      </c>
      <c r="G9" s="180"/>
      <c r="H9" s="97">
        <f>'project budget'!$E9</f>
        <v>0</v>
      </c>
      <c r="I9" s="180"/>
      <c r="J9" s="143">
        <f>'project budget'!$F9</f>
        <v>0</v>
      </c>
      <c r="K9" s="180"/>
      <c r="L9" s="97">
        <f>'project budget'!$G9</f>
        <v>0</v>
      </c>
      <c r="M9" s="180"/>
      <c r="N9" s="97">
        <f>'project budget'!$H9</f>
        <v>0</v>
      </c>
      <c r="O9" s="180"/>
      <c r="P9" s="97">
        <f>'project budget'!$I9</f>
        <v>0</v>
      </c>
      <c r="Q9" s="180"/>
      <c r="R9" s="97">
        <f>'project budget'!$J9</f>
        <v>0</v>
      </c>
      <c r="S9" s="180"/>
      <c r="T9" s="97">
        <f>'project budget'!$K9</f>
        <v>0</v>
      </c>
      <c r="U9" s="180"/>
      <c r="V9" s="143">
        <f>'project budget'!$L9</f>
        <v>0</v>
      </c>
      <c r="W9" s="180"/>
      <c r="X9" s="143">
        <f>'project budget'!$M9</f>
        <v>0</v>
      </c>
      <c r="Y9" s="180"/>
      <c r="Z9" s="97">
        <f t="shared" si="0"/>
        <v>0</v>
      </c>
      <c r="AA9" s="97">
        <f t="shared" si="0"/>
        <v>0</v>
      </c>
      <c r="AB9" s="180"/>
      <c r="AC9" s="180"/>
      <c r="AD9" s="142">
        <v>0</v>
      </c>
      <c r="AE9" s="97">
        <f t="shared" si="1"/>
        <v>0</v>
      </c>
    </row>
    <row r="10" spans="1:31" ht="14.4" outlineLevel="1">
      <c r="A10" s="686"/>
      <c r="B10" s="665" t="str">
        <f>'sources-uses'!B10</f>
        <v>[Additional Field - Specify]</v>
      </c>
      <c r="C10" s="143">
        <f>'project budget'!C10</f>
        <v>0</v>
      </c>
      <c r="D10" s="97">
        <f>SUM(F10:Y10)</f>
        <v>0</v>
      </c>
      <c r="E10" s="180"/>
      <c r="F10" s="97">
        <f>'project budget'!$D10</f>
        <v>0</v>
      </c>
      <c r="G10" s="180"/>
      <c r="H10" s="97">
        <f>'project budget'!$E10</f>
        <v>0</v>
      </c>
      <c r="I10" s="180"/>
      <c r="J10" s="143">
        <f>'project budget'!$F10</f>
        <v>0</v>
      </c>
      <c r="K10" s="180"/>
      <c r="L10" s="97">
        <f>'project budget'!$G10</f>
        <v>0</v>
      </c>
      <c r="M10" s="180"/>
      <c r="N10" s="97">
        <f>'project budget'!$H10</f>
        <v>0</v>
      </c>
      <c r="O10" s="180"/>
      <c r="P10" s="97">
        <f>'project budget'!$I10</f>
        <v>0</v>
      </c>
      <c r="Q10" s="180"/>
      <c r="R10" s="97">
        <f>'project budget'!$J10</f>
        <v>0</v>
      </c>
      <c r="S10" s="180"/>
      <c r="T10" s="97">
        <f>'project budget'!$K10</f>
        <v>0</v>
      </c>
      <c r="U10" s="180"/>
      <c r="V10" s="143">
        <f>'project budget'!$L10</f>
        <v>0</v>
      </c>
      <c r="W10" s="180"/>
      <c r="X10" s="143">
        <f>'project budget'!$M10</f>
        <v>0</v>
      </c>
      <c r="Y10" s="180"/>
      <c r="Z10" s="97">
        <f t="shared" si="0"/>
        <v>0</v>
      </c>
      <c r="AA10" s="97">
        <f t="shared" si="0"/>
        <v>0</v>
      </c>
      <c r="AB10" s="180"/>
      <c r="AC10" s="180"/>
      <c r="AD10" s="142">
        <v>0</v>
      </c>
      <c r="AE10" s="97">
        <f t="shared" si="1"/>
        <v>0</v>
      </c>
    </row>
    <row r="11" spans="1:31" ht="14.4" outlineLevel="1">
      <c r="A11" s="686"/>
      <c r="B11" s="665" t="str">
        <f>'sources-uses'!B11</f>
        <v>[Additional Field - Specify]</v>
      </c>
      <c r="C11" s="143">
        <f>'project budget'!C11</f>
        <v>0</v>
      </c>
      <c r="D11" s="97">
        <f>SUM(F11:Y11)</f>
        <v>0</v>
      </c>
      <c r="E11" s="180"/>
      <c r="F11" s="97">
        <f>'project budget'!$D11</f>
        <v>0</v>
      </c>
      <c r="G11" s="180"/>
      <c r="H11" s="97">
        <f>'project budget'!$E11</f>
        <v>0</v>
      </c>
      <c r="I11" s="180"/>
      <c r="J11" s="143">
        <f>'project budget'!$F11</f>
        <v>0</v>
      </c>
      <c r="K11" s="180"/>
      <c r="L11" s="97">
        <f>'project budget'!$G11</f>
        <v>0</v>
      </c>
      <c r="M11" s="180"/>
      <c r="N11" s="97">
        <f>'project budget'!$H11</f>
        <v>0</v>
      </c>
      <c r="O11" s="180"/>
      <c r="P11" s="97">
        <f>'project budget'!$I11</f>
        <v>0</v>
      </c>
      <c r="Q11" s="180"/>
      <c r="R11" s="97">
        <f>'project budget'!$J11</f>
        <v>0</v>
      </c>
      <c r="S11" s="180"/>
      <c r="T11" s="97">
        <f>'project budget'!$K11</f>
        <v>0</v>
      </c>
      <c r="U11" s="180"/>
      <c r="V11" s="143">
        <f>'project budget'!$L11</f>
        <v>0</v>
      </c>
      <c r="W11" s="180"/>
      <c r="X11" s="143">
        <f>'project budget'!$M11</f>
        <v>0</v>
      </c>
      <c r="Y11" s="180"/>
      <c r="Z11" s="97">
        <f t="shared" si="0"/>
        <v>0</v>
      </c>
      <c r="AA11" s="97">
        <f t="shared" si="0"/>
        <v>0</v>
      </c>
      <c r="AB11" s="180"/>
      <c r="AC11" s="180"/>
      <c r="AD11" s="142">
        <v>0</v>
      </c>
      <c r="AE11" s="97">
        <f t="shared" si="1"/>
        <v>0</v>
      </c>
    </row>
    <row r="12" spans="1:31" ht="14.4" outlineLevel="1">
      <c r="A12" s="686"/>
      <c r="B12" s="665" t="str">
        <f>'sources-uses'!B12</f>
        <v>[Additional Field - Specify]</v>
      </c>
      <c r="C12" s="143">
        <f>'project budget'!C12</f>
        <v>0</v>
      </c>
      <c r="D12" s="97">
        <f>SUM(F12:Y12)</f>
        <v>0</v>
      </c>
      <c r="E12" s="180"/>
      <c r="F12" s="97">
        <f>'project budget'!$D12</f>
        <v>0</v>
      </c>
      <c r="G12" s="180"/>
      <c r="H12" s="97">
        <f>'project budget'!$E12</f>
        <v>0</v>
      </c>
      <c r="I12" s="180"/>
      <c r="J12" s="143">
        <f>'project budget'!$F12</f>
        <v>0</v>
      </c>
      <c r="K12" s="180"/>
      <c r="L12" s="97">
        <f>'project budget'!$G12</f>
        <v>0</v>
      </c>
      <c r="M12" s="180"/>
      <c r="N12" s="97">
        <f>'project budget'!$H12</f>
        <v>0</v>
      </c>
      <c r="O12" s="180"/>
      <c r="P12" s="97">
        <f>'project budget'!$I12</f>
        <v>0</v>
      </c>
      <c r="Q12" s="180"/>
      <c r="R12" s="97">
        <f>'project budget'!$J12</f>
        <v>0</v>
      </c>
      <c r="S12" s="180"/>
      <c r="T12" s="97">
        <f>'project budget'!$K12</f>
        <v>0</v>
      </c>
      <c r="U12" s="180"/>
      <c r="V12" s="143">
        <f>'project budget'!$L12</f>
        <v>0</v>
      </c>
      <c r="W12" s="180"/>
      <c r="X12" s="143">
        <f>'project budget'!$M12</f>
        <v>0</v>
      </c>
      <c r="Y12" s="180"/>
      <c r="Z12" s="97">
        <f t="shared" si="0"/>
        <v>0</v>
      </c>
      <c r="AA12" s="97">
        <f t="shared" si="0"/>
        <v>0</v>
      </c>
      <c r="AB12" s="180"/>
      <c r="AC12" s="180"/>
      <c r="AD12" s="142">
        <v>0</v>
      </c>
      <c r="AE12" s="97">
        <f t="shared" si="1"/>
        <v>0</v>
      </c>
    </row>
    <row r="13" spans="1:31">
      <c r="A13" s="686"/>
      <c r="B13" s="669" t="str">
        <f>'sources-uses'!B13</f>
        <v>Subtotal - Acquisition</v>
      </c>
      <c r="C13" s="179">
        <f>'sources-uses'!C13</f>
        <v>0</v>
      </c>
      <c r="D13" s="688"/>
      <c r="E13" s="688"/>
      <c r="F13" s="688"/>
      <c r="G13" s="688"/>
      <c r="H13" s="688"/>
      <c r="I13" s="688"/>
      <c r="J13" s="688"/>
      <c r="K13" s="688"/>
      <c r="L13" s="688"/>
      <c r="M13" s="688"/>
      <c r="N13" s="688"/>
      <c r="O13" s="688"/>
      <c r="P13" s="688"/>
      <c r="Q13" s="688"/>
      <c r="R13" s="688"/>
      <c r="S13" s="688"/>
      <c r="T13" s="688"/>
      <c r="U13" s="688"/>
      <c r="V13" s="688"/>
      <c r="W13" s="688"/>
      <c r="X13" s="688"/>
      <c r="Y13" s="688"/>
      <c r="Z13" s="688"/>
      <c r="AA13" s="688"/>
      <c r="AB13" s="688"/>
      <c r="AC13" s="688"/>
      <c r="AD13" s="688"/>
      <c r="AE13" s="688"/>
    </row>
    <row r="14" spans="1:31">
      <c r="A14" s="686"/>
      <c r="B14" s="590" t="str">
        <f>'sources-uses'!B14</f>
        <v>CONSTRUCTION HARD COSTS</v>
      </c>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row>
    <row r="15" spans="1:31">
      <c r="A15" s="686"/>
      <c r="B15" s="590" t="str">
        <f>'sources-uses'!B15</f>
        <v>Construction - Residential</v>
      </c>
      <c r="C15" s="143">
        <f>'sources-uses'!C15</f>
        <v>0</v>
      </c>
      <c r="D15" s="180"/>
      <c r="E15" s="143">
        <f>SUM(G15:Y15)</f>
        <v>0</v>
      </c>
      <c r="F15" s="180"/>
      <c r="G15" s="143">
        <f>'project budget'!$D15</f>
        <v>0</v>
      </c>
      <c r="H15" s="180"/>
      <c r="I15" s="143">
        <f>'project budget'!$E15</f>
        <v>0</v>
      </c>
      <c r="J15" s="180"/>
      <c r="K15" s="143">
        <f>'project budget'!$F15</f>
        <v>0</v>
      </c>
      <c r="L15" s="180"/>
      <c r="M15" s="143">
        <f>'project budget'!$G15</f>
        <v>0</v>
      </c>
      <c r="N15" s="180"/>
      <c r="O15" s="143">
        <f>'project budget'!$H15</f>
        <v>0</v>
      </c>
      <c r="P15" s="180"/>
      <c r="Q15" s="143">
        <f>'project budget'!$I15</f>
        <v>0</v>
      </c>
      <c r="R15" s="180"/>
      <c r="S15" s="143">
        <f>'project budget'!$J15</f>
        <v>0</v>
      </c>
      <c r="T15" s="180"/>
      <c r="U15" s="143">
        <f>'project budget'!$K15</f>
        <v>0</v>
      </c>
      <c r="V15" s="180"/>
      <c r="W15" s="143">
        <f>'project budget'!$L15</f>
        <v>0</v>
      </c>
      <c r="X15" s="180"/>
      <c r="Y15" s="143">
        <f>'project budget'!$M15</f>
        <v>0</v>
      </c>
      <c r="Z15" s="143">
        <f>$C15</f>
        <v>0</v>
      </c>
      <c r="AA15" s="143">
        <f t="shared" ref="AA15:AA17" si="2">$C15</f>
        <v>0</v>
      </c>
      <c r="AB15" s="142">
        <v>0</v>
      </c>
      <c r="AC15" s="142">
        <v>0</v>
      </c>
      <c r="AD15" s="142">
        <v>0</v>
      </c>
      <c r="AE15" s="143">
        <f>C15</f>
        <v>0</v>
      </c>
    </row>
    <row r="16" spans="1:31">
      <c r="A16" s="686"/>
      <c r="B16" s="687" t="str">
        <f>'sources-uses'!B16</f>
        <v>Construction - Commercial</v>
      </c>
      <c r="C16" s="143">
        <f>'sources-uses'!C16</f>
        <v>0</v>
      </c>
      <c r="D16" s="180"/>
      <c r="E16" s="143">
        <f t="shared" ref="E16:E32" si="3">SUM(G16:Y16)</f>
        <v>0</v>
      </c>
      <c r="F16" s="180"/>
      <c r="G16" s="143">
        <f>'project budget'!$D16</f>
        <v>0</v>
      </c>
      <c r="H16" s="180"/>
      <c r="I16" s="143">
        <f>'project budget'!$E16</f>
        <v>0</v>
      </c>
      <c r="J16" s="180"/>
      <c r="K16" s="143">
        <f>'project budget'!$F16</f>
        <v>0</v>
      </c>
      <c r="L16" s="180"/>
      <c r="M16" s="143">
        <f>'project budget'!$G16</f>
        <v>0</v>
      </c>
      <c r="N16" s="180"/>
      <c r="O16" s="143">
        <f>'project budget'!$H16</f>
        <v>0</v>
      </c>
      <c r="P16" s="180"/>
      <c r="Q16" s="143">
        <f>'project budget'!$I16</f>
        <v>0</v>
      </c>
      <c r="R16" s="180"/>
      <c r="S16" s="143">
        <f>'project budget'!$J16</f>
        <v>0</v>
      </c>
      <c r="T16" s="180"/>
      <c r="U16" s="143">
        <f>'project budget'!$K16</f>
        <v>0</v>
      </c>
      <c r="V16" s="180"/>
      <c r="W16" s="143">
        <f>'project budget'!$L16</f>
        <v>0</v>
      </c>
      <c r="X16" s="180"/>
      <c r="Y16" s="143">
        <f>'project budget'!$M16</f>
        <v>0</v>
      </c>
      <c r="Z16" s="143">
        <f>$C16</f>
        <v>0</v>
      </c>
      <c r="AA16" s="143">
        <f t="shared" si="2"/>
        <v>0</v>
      </c>
      <c r="AB16" s="142">
        <v>0</v>
      </c>
      <c r="AC16" s="142">
        <v>0</v>
      </c>
      <c r="AD16" s="142">
        <v>0</v>
      </c>
      <c r="AE16" s="143">
        <f t="shared" ref="AE16:AE32" si="4">C16</f>
        <v>0</v>
      </c>
    </row>
    <row r="17" spans="1:31">
      <c r="A17" s="686"/>
      <c r="B17" s="590" t="str">
        <f>'sources-uses'!B17</f>
        <v>Site Work</v>
      </c>
      <c r="C17" s="143">
        <f>'sources-uses'!C17</f>
        <v>0</v>
      </c>
      <c r="D17" s="180"/>
      <c r="E17" s="143">
        <f t="shared" si="3"/>
        <v>0</v>
      </c>
      <c r="F17" s="180"/>
      <c r="G17" s="143">
        <f>'project budget'!$D17</f>
        <v>0</v>
      </c>
      <c r="H17" s="180"/>
      <c r="I17" s="143">
        <f>'project budget'!$E17</f>
        <v>0</v>
      </c>
      <c r="J17" s="180"/>
      <c r="K17" s="143">
        <f>'project budget'!$F17</f>
        <v>0</v>
      </c>
      <c r="L17" s="180"/>
      <c r="M17" s="143">
        <f>'project budget'!$G17</f>
        <v>0</v>
      </c>
      <c r="N17" s="180"/>
      <c r="O17" s="143">
        <f>'project budget'!$H17</f>
        <v>0</v>
      </c>
      <c r="P17" s="180"/>
      <c r="Q17" s="143">
        <f>'project budget'!$I17</f>
        <v>0</v>
      </c>
      <c r="R17" s="180"/>
      <c r="S17" s="143">
        <f>'project budget'!$J17</f>
        <v>0</v>
      </c>
      <c r="T17" s="180"/>
      <c r="U17" s="143">
        <f>'project budget'!$K17</f>
        <v>0</v>
      </c>
      <c r="V17" s="180"/>
      <c r="W17" s="143">
        <f>'project budget'!$L17</f>
        <v>0</v>
      </c>
      <c r="X17" s="180"/>
      <c r="Y17" s="143">
        <f>'project budget'!$M17</f>
        <v>0</v>
      </c>
      <c r="Z17" s="143">
        <f>$C17</f>
        <v>0</v>
      </c>
      <c r="AA17" s="143">
        <f t="shared" si="2"/>
        <v>0</v>
      </c>
      <c r="AB17" s="142">
        <v>0</v>
      </c>
      <c r="AC17" s="142">
        <v>0</v>
      </c>
      <c r="AD17" s="142">
        <v>0</v>
      </c>
      <c r="AE17" s="143">
        <f t="shared" si="4"/>
        <v>0</v>
      </c>
    </row>
    <row r="18" spans="1:31">
      <c r="A18" s="686"/>
      <c r="B18" s="590" t="str">
        <f>'sources-uses'!B18</f>
        <v>Demolition - Construction</v>
      </c>
      <c r="C18" s="143">
        <f>'sources-uses'!C18</f>
        <v>0</v>
      </c>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43">
        <f>$C18</f>
        <v>0</v>
      </c>
      <c r="AB18" s="180"/>
      <c r="AC18" s="180"/>
      <c r="AD18" s="142">
        <v>0</v>
      </c>
      <c r="AE18" s="143">
        <f t="shared" si="4"/>
        <v>0</v>
      </c>
    </row>
    <row r="19" spans="1:31">
      <c r="A19" s="686"/>
      <c r="B19" s="590" t="str">
        <f>'sources-uses'!B19</f>
        <v>Commercial Fit Up</v>
      </c>
      <c r="C19" s="143">
        <f>'sources-uses'!C19</f>
        <v>0</v>
      </c>
      <c r="D19" s="180"/>
      <c r="E19" s="143">
        <f t="shared" si="3"/>
        <v>0</v>
      </c>
      <c r="F19" s="180"/>
      <c r="G19" s="143">
        <f>'project budget'!$D19</f>
        <v>0</v>
      </c>
      <c r="H19" s="180"/>
      <c r="I19" s="143">
        <f>'project budget'!$E19</f>
        <v>0</v>
      </c>
      <c r="J19" s="180"/>
      <c r="K19" s="143">
        <f>'project budget'!$F19</f>
        <v>0</v>
      </c>
      <c r="L19" s="180"/>
      <c r="M19" s="143">
        <f>'project budget'!$G19</f>
        <v>0</v>
      </c>
      <c r="N19" s="180"/>
      <c r="O19" s="143">
        <f>'project budget'!$H19</f>
        <v>0</v>
      </c>
      <c r="P19" s="180"/>
      <c r="Q19" s="143">
        <f>'project budget'!$I19</f>
        <v>0</v>
      </c>
      <c r="R19" s="180"/>
      <c r="S19" s="143">
        <f>'project budget'!$J19</f>
        <v>0</v>
      </c>
      <c r="T19" s="180"/>
      <c r="U19" s="143">
        <f>'project budget'!$K19</f>
        <v>0</v>
      </c>
      <c r="V19" s="180"/>
      <c r="W19" s="143">
        <f>'project budget'!$L19</f>
        <v>0</v>
      </c>
      <c r="X19" s="180"/>
      <c r="Y19" s="143">
        <f>'project budget'!$M19</f>
        <v>0</v>
      </c>
      <c r="Z19" s="143">
        <f t="shared" ref="Z19:AA32" si="5">$C19</f>
        <v>0</v>
      </c>
      <c r="AA19" s="143">
        <f t="shared" si="5"/>
        <v>0</v>
      </c>
      <c r="AB19" s="180"/>
      <c r="AC19" s="180"/>
      <c r="AD19" s="142">
        <v>0</v>
      </c>
      <c r="AE19" s="143">
        <f t="shared" si="4"/>
        <v>0</v>
      </c>
    </row>
    <row r="20" spans="1:31">
      <c r="A20" s="686"/>
      <c r="B20" s="590" t="str">
        <f>'sources-uses'!B20</f>
        <v>Contractor Overhead</v>
      </c>
      <c r="C20" s="179">
        <f>'sources-uses'!C20</f>
        <v>0</v>
      </c>
      <c r="D20" s="180"/>
      <c r="E20" s="143">
        <f t="shared" si="3"/>
        <v>0</v>
      </c>
      <c r="F20" s="180"/>
      <c r="G20" s="143">
        <f>'project budget'!$D20</f>
        <v>0</v>
      </c>
      <c r="H20" s="180"/>
      <c r="I20" s="143">
        <f>'project budget'!$E20</f>
        <v>0</v>
      </c>
      <c r="J20" s="180"/>
      <c r="K20" s="143">
        <f>'project budget'!$F20</f>
        <v>0</v>
      </c>
      <c r="L20" s="180"/>
      <c r="M20" s="143">
        <f>'project budget'!$G20</f>
        <v>0</v>
      </c>
      <c r="N20" s="180"/>
      <c r="O20" s="143">
        <f>'project budget'!$H20</f>
        <v>0</v>
      </c>
      <c r="P20" s="180"/>
      <c r="Q20" s="143">
        <f>'project budget'!$I20</f>
        <v>0</v>
      </c>
      <c r="R20" s="180"/>
      <c r="S20" s="143">
        <f>'project budget'!$J20</f>
        <v>0</v>
      </c>
      <c r="T20" s="180"/>
      <c r="U20" s="143">
        <f>'project budget'!$K20</f>
        <v>0</v>
      </c>
      <c r="V20" s="180"/>
      <c r="W20" s="143">
        <f>'project budget'!$L20</f>
        <v>0</v>
      </c>
      <c r="X20" s="180"/>
      <c r="Y20" s="143">
        <f>'project budget'!$M20</f>
        <v>0</v>
      </c>
      <c r="Z20" s="143">
        <f t="shared" si="5"/>
        <v>0</v>
      </c>
      <c r="AA20" s="143">
        <f t="shared" si="5"/>
        <v>0</v>
      </c>
      <c r="AB20" s="180"/>
      <c r="AC20" s="180"/>
      <c r="AD20" s="142">
        <v>0</v>
      </c>
      <c r="AE20" s="143">
        <f t="shared" si="4"/>
        <v>0</v>
      </c>
    </row>
    <row r="21" spans="1:31">
      <c r="A21" s="686"/>
      <c r="B21" s="590" t="str">
        <f>'sources-uses'!B21</f>
        <v>Contractor Profit</v>
      </c>
      <c r="C21" s="143">
        <f>'sources-uses'!C21</f>
        <v>0</v>
      </c>
      <c r="D21" s="180"/>
      <c r="E21" s="143">
        <f t="shared" si="3"/>
        <v>0</v>
      </c>
      <c r="F21" s="180"/>
      <c r="G21" s="143">
        <f>'project budget'!$D21</f>
        <v>0</v>
      </c>
      <c r="H21" s="180"/>
      <c r="I21" s="143">
        <f>'project budget'!$E21</f>
        <v>0</v>
      </c>
      <c r="J21" s="180"/>
      <c r="K21" s="143">
        <f>'project budget'!$F21</f>
        <v>0</v>
      </c>
      <c r="L21" s="180"/>
      <c r="M21" s="143">
        <f>'project budget'!$G21</f>
        <v>0</v>
      </c>
      <c r="N21" s="180"/>
      <c r="O21" s="143">
        <f>'project budget'!$H21</f>
        <v>0</v>
      </c>
      <c r="P21" s="180"/>
      <c r="Q21" s="143">
        <f>'project budget'!$I21</f>
        <v>0</v>
      </c>
      <c r="R21" s="180"/>
      <c r="S21" s="143">
        <f>'project budget'!$J21</f>
        <v>0</v>
      </c>
      <c r="T21" s="180"/>
      <c r="U21" s="143">
        <f>'project budget'!$K21</f>
        <v>0</v>
      </c>
      <c r="V21" s="180"/>
      <c r="W21" s="143">
        <f>'project budget'!$L21</f>
        <v>0</v>
      </c>
      <c r="X21" s="180"/>
      <c r="Y21" s="143">
        <f>'project budget'!$M21</f>
        <v>0</v>
      </c>
      <c r="Z21" s="143">
        <f t="shared" si="5"/>
        <v>0</v>
      </c>
      <c r="AA21" s="143">
        <f>$C21</f>
        <v>0</v>
      </c>
      <c r="AB21" s="180"/>
      <c r="AC21" s="180"/>
      <c r="AD21" s="142">
        <v>0</v>
      </c>
      <c r="AE21" s="143">
        <f t="shared" si="4"/>
        <v>0</v>
      </c>
    </row>
    <row r="22" spans="1:31">
      <c r="A22" s="686"/>
      <c r="B22" s="590" t="str">
        <f>'sources-uses'!B22</f>
        <v>Contractor General Requirements</v>
      </c>
      <c r="C22" s="143">
        <f>'sources-uses'!C22</f>
        <v>0</v>
      </c>
      <c r="D22" s="180"/>
      <c r="E22" s="143">
        <f t="shared" si="3"/>
        <v>0</v>
      </c>
      <c r="F22" s="180"/>
      <c r="G22" s="143">
        <f>'project budget'!$D22</f>
        <v>0</v>
      </c>
      <c r="H22" s="180"/>
      <c r="I22" s="143">
        <f>'project budget'!$E22</f>
        <v>0</v>
      </c>
      <c r="J22" s="180"/>
      <c r="K22" s="143">
        <f>'project budget'!$F22</f>
        <v>0</v>
      </c>
      <c r="L22" s="180"/>
      <c r="M22" s="143">
        <f>'project budget'!$G22</f>
        <v>0</v>
      </c>
      <c r="N22" s="180"/>
      <c r="O22" s="143">
        <f>'project budget'!$H22</f>
        <v>0</v>
      </c>
      <c r="P22" s="180"/>
      <c r="Q22" s="143">
        <f>'project budget'!$I22</f>
        <v>0</v>
      </c>
      <c r="R22" s="180"/>
      <c r="S22" s="143">
        <f>'project budget'!$J22</f>
        <v>0</v>
      </c>
      <c r="T22" s="180"/>
      <c r="U22" s="143">
        <f>'project budget'!$K22</f>
        <v>0</v>
      </c>
      <c r="V22" s="180"/>
      <c r="W22" s="143">
        <f>'project budget'!$L22</f>
        <v>0</v>
      </c>
      <c r="X22" s="180"/>
      <c r="Y22" s="143">
        <f>'project budget'!$M22</f>
        <v>0</v>
      </c>
      <c r="Z22" s="143">
        <f t="shared" si="5"/>
        <v>0</v>
      </c>
      <c r="AA22" s="143">
        <f>$C22</f>
        <v>0</v>
      </c>
      <c r="AB22" s="180"/>
      <c r="AC22" s="180"/>
      <c r="AD22" s="142">
        <v>0</v>
      </c>
      <c r="AE22" s="143">
        <f t="shared" si="4"/>
        <v>0</v>
      </c>
    </row>
    <row r="23" spans="1:31">
      <c r="A23" s="686"/>
      <c r="B23" s="590" t="str">
        <f>'sources-uses'!B23</f>
        <v>Construction Contingency</v>
      </c>
      <c r="C23" s="143">
        <f>'sources-uses'!C23</f>
        <v>0</v>
      </c>
      <c r="D23" s="180"/>
      <c r="E23" s="143">
        <f t="shared" si="3"/>
        <v>0</v>
      </c>
      <c r="F23" s="180"/>
      <c r="G23" s="143">
        <f>'project budget'!$D23</f>
        <v>0</v>
      </c>
      <c r="H23" s="180"/>
      <c r="I23" s="143">
        <f>'project budget'!$E23</f>
        <v>0</v>
      </c>
      <c r="J23" s="180"/>
      <c r="K23" s="143">
        <f>'project budget'!$F23</f>
        <v>0</v>
      </c>
      <c r="L23" s="180"/>
      <c r="M23" s="143">
        <f>'project budget'!$G23</f>
        <v>0</v>
      </c>
      <c r="N23" s="180"/>
      <c r="O23" s="143">
        <f>'project budget'!$H23</f>
        <v>0</v>
      </c>
      <c r="P23" s="180"/>
      <c r="Q23" s="143">
        <f>'project budget'!$I23</f>
        <v>0</v>
      </c>
      <c r="R23" s="180"/>
      <c r="S23" s="143">
        <f>'project budget'!$J23</f>
        <v>0</v>
      </c>
      <c r="T23" s="180"/>
      <c r="U23" s="143">
        <f>'project budget'!$K23</f>
        <v>0</v>
      </c>
      <c r="V23" s="180"/>
      <c r="W23" s="143">
        <f>'project budget'!$L23</f>
        <v>0</v>
      </c>
      <c r="X23" s="180"/>
      <c r="Y23" s="143">
        <f>'project budget'!$M23</f>
        <v>0</v>
      </c>
      <c r="Z23" s="143">
        <f t="shared" si="5"/>
        <v>0</v>
      </c>
      <c r="AA23" s="143">
        <f t="shared" si="5"/>
        <v>0</v>
      </c>
      <c r="AB23" s="180"/>
      <c r="AC23" s="180"/>
      <c r="AD23" s="142">
        <v>0</v>
      </c>
      <c r="AE23" s="143">
        <f t="shared" si="4"/>
        <v>0</v>
      </c>
    </row>
    <row r="24" spans="1:31">
      <c r="A24" s="686"/>
      <c r="B24" s="590" t="str">
        <f>'sources-uses'!B24</f>
        <v>Construction Bond Fee</v>
      </c>
      <c r="C24" s="143">
        <f>'sources-uses'!C24</f>
        <v>0</v>
      </c>
      <c r="D24" s="180"/>
      <c r="E24" s="143">
        <f t="shared" si="3"/>
        <v>0</v>
      </c>
      <c r="F24" s="180"/>
      <c r="G24" s="143">
        <f>'project budget'!$D24</f>
        <v>0</v>
      </c>
      <c r="H24" s="180"/>
      <c r="I24" s="143">
        <f>'project budget'!$E24</f>
        <v>0</v>
      </c>
      <c r="J24" s="180"/>
      <c r="K24" s="143">
        <f>'project budget'!$F24</f>
        <v>0</v>
      </c>
      <c r="L24" s="180"/>
      <c r="M24" s="143">
        <f>'project budget'!$G24</f>
        <v>0</v>
      </c>
      <c r="N24" s="180"/>
      <c r="O24" s="143">
        <f>'project budget'!$H24</f>
        <v>0</v>
      </c>
      <c r="P24" s="180"/>
      <c r="Q24" s="143">
        <f>'project budget'!$I24</f>
        <v>0</v>
      </c>
      <c r="R24" s="180"/>
      <c r="S24" s="143">
        <f>'project budget'!$J24</f>
        <v>0</v>
      </c>
      <c r="T24" s="180"/>
      <c r="U24" s="143">
        <f>'project budget'!$K24</f>
        <v>0</v>
      </c>
      <c r="V24" s="180"/>
      <c r="W24" s="143">
        <f>'project budget'!$L24</f>
        <v>0</v>
      </c>
      <c r="X24" s="180"/>
      <c r="Y24" s="143">
        <f>'project budget'!$M24</f>
        <v>0</v>
      </c>
      <c r="Z24" s="143">
        <f t="shared" si="5"/>
        <v>0</v>
      </c>
      <c r="AA24" s="143">
        <f t="shared" si="5"/>
        <v>0</v>
      </c>
      <c r="AB24" s="180"/>
      <c r="AC24" s="180"/>
      <c r="AD24" s="142">
        <v>0</v>
      </c>
      <c r="AE24" s="143">
        <f t="shared" si="4"/>
        <v>0</v>
      </c>
    </row>
    <row r="25" spans="1:31">
      <c r="A25" s="686"/>
      <c r="B25" s="590" t="str">
        <f>'sources-uses'!B25</f>
        <v>Hazardous Materials Abatement</v>
      </c>
      <c r="C25" s="143">
        <f>'sources-uses'!C25</f>
        <v>0</v>
      </c>
      <c r="D25" s="180"/>
      <c r="E25" s="143">
        <f t="shared" si="3"/>
        <v>0</v>
      </c>
      <c r="F25" s="180"/>
      <c r="G25" s="143">
        <f>'project budget'!$D25</f>
        <v>0</v>
      </c>
      <c r="H25" s="180"/>
      <c r="I25" s="143">
        <f>'project budget'!$E25</f>
        <v>0</v>
      </c>
      <c r="J25" s="180"/>
      <c r="K25" s="143">
        <f>'project budget'!$F25</f>
        <v>0</v>
      </c>
      <c r="L25" s="180"/>
      <c r="M25" s="143">
        <f>'project budget'!$G25</f>
        <v>0</v>
      </c>
      <c r="N25" s="180"/>
      <c r="O25" s="143">
        <f>'project budget'!$H25</f>
        <v>0</v>
      </c>
      <c r="P25" s="180"/>
      <c r="Q25" s="143">
        <f>'project budget'!$I25</f>
        <v>0</v>
      </c>
      <c r="R25" s="180"/>
      <c r="S25" s="143">
        <f>'project budget'!$J25</f>
        <v>0</v>
      </c>
      <c r="T25" s="180"/>
      <c r="U25" s="143">
        <f>'project budget'!$K25</f>
        <v>0</v>
      </c>
      <c r="V25" s="180"/>
      <c r="W25" s="143">
        <f>'project budget'!$L25</f>
        <v>0</v>
      </c>
      <c r="X25" s="180"/>
      <c r="Y25" s="143">
        <f>'project budget'!$M25</f>
        <v>0</v>
      </c>
      <c r="Z25" s="143">
        <f t="shared" si="5"/>
        <v>0</v>
      </c>
      <c r="AA25" s="143">
        <f t="shared" si="5"/>
        <v>0</v>
      </c>
      <c r="AB25" s="180"/>
      <c r="AC25" s="180"/>
      <c r="AD25" s="142">
        <v>0</v>
      </c>
      <c r="AE25" s="143">
        <f t="shared" si="4"/>
        <v>0</v>
      </c>
    </row>
    <row r="26" spans="1:31">
      <c r="A26" s="686"/>
      <c r="B26" s="590" t="str">
        <f>'sources-uses'!B26</f>
        <v>Off-Site Improvements</v>
      </c>
      <c r="C26" s="143">
        <f>'sources-uses'!C26</f>
        <v>0</v>
      </c>
      <c r="D26" s="180"/>
      <c r="E26" s="143">
        <f t="shared" si="3"/>
        <v>0</v>
      </c>
      <c r="F26" s="180"/>
      <c r="G26" s="143">
        <f>'project budget'!$D26</f>
        <v>0</v>
      </c>
      <c r="H26" s="180"/>
      <c r="I26" s="143">
        <f>'project budget'!$E26</f>
        <v>0</v>
      </c>
      <c r="J26" s="180"/>
      <c r="K26" s="143">
        <f>'project budget'!$F26</f>
        <v>0</v>
      </c>
      <c r="L26" s="180"/>
      <c r="M26" s="143">
        <f>'project budget'!$G26</f>
        <v>0</v>
      </c>
      <c r="N26" s="180"/>
      <c r="O26" s="143">
        <f>'project budget'!$H26</f>
        <v>0</v>
      </c>
      <c r="P26" s="180"/>
      <c r="Q26" s="143">
        <f>'project budget'!$I26</f>
        <v>0</v>
      </c>
      <c r="R26" s="180"/>
      <c r="S26" s="143">
        <f>'project budget'!$J26</f>
        <v>0</v>
      </c>
      <c r="T26" s="180"/>
      <c r="U26" s="143">
        <f>'project budget'!$K26</f>
        <v>0</v>
      </c>
      <c r="V26" s="180"/>
      <c r="W26" s="143">
        <f>'project budget'!$L26</f>
        <v>0</v>
      </c>
      <c r="X26" s="180"/>
      <c r="Y26" s="143">
        <f>'project budget'!$M26</f>
        <v>0</v>
      </c>
      <c r="Z26" s="143">
        <f t="shared" si="5"/>
        <v>0</v>
      </c>
      <c r="AA26" s="143">
        <f t="shared" si="5"/>
        <v>0</v>
      </c>
      <c r="AB26" s="142">
        <v>0</v>
      </c>
      <c r="AC26" s="142">
        <v>0</v>
      </c>
      <c r="AD26" s="142">
        <v>0</v>
      </c>
      <c r="AE26" s="143">
        <f t="shared" si="4"/>
        <v>0</v>
      </c>
    </row>
    <row r="27" spans="1:31">
      <c r="A27" s="686"/>
      <c r="B27" s="590" t="str">
        <f>'sources-uses'!B27</f>
        <v>Furnishings, Fixtures, &amp; Equipment</v>
      </c>
      <c r="C27" s="143">
        <f>'sources-uses'!C27</f>
        <v>0</v>
      </c>
      <c r="D27" s="180"/>
      <c r="E27" s="143">
        <f t="shared" si="3"/>
        <v>0</v>
      </c>
      <c r="F27" s="180"/>
      <c r="G27" s="143">
        <f>'project budget'!$D27</f>
        <v>0</v>
      </c>
      <c r="H27" s="180"/>
      <c r="I27" s="143">
        <f>'project budget'!$E27</f>
        <v>0</v>
      </c>
      <c r="J27" s="180"/>
      <c r="K27" s="143">
        <f>'project budget'!$F27</f>
        <v>0</v>
      </c>
      <c r="L27" s="180"/>
      <c r="M27" s="143">
        <f>'project budget'!$G27</f>
        <v>0</v>
      </c>
      <c r="N27" s="180"/>
      <c r="O27" s="143">
        <f>'project budget'!$H27</f>
        <v>0</v>
      </c>
      <c r="P27" s="180"/>
      <c r="Q27" s="143">
        <f>'project budget'!$I27</f>
        <v>0</v>
      </c>
      <c r="R27" s="180"/>
      <c r="S27" s="143">
        <f>'project budget'!$J27</f>
        <v>0</v>
      </c>
      <c r="T27" s="180"/>
      <c r="U27" s="143">
        <f>'project budget'!$K27</f>
        <v>0</v>
      </c>
      <c r="V27" s="180"/>
      <c r="W27" s="143">
        <f>'project budget'!$L27</f>
        <v>0</v>
      </c>
      <c r="X27" s="180"/>
      <c r="Y27" s="143">
        <f>'project budget'!$M27</f>
        <v>0</v>
      </c>
      <c r="Z27" s="143">
        <f t="shared" si="5"/>
        <v>0</v>
      </c>
      <c r="AA27" s="143">
        <f t="shared" si="5"/>
        <v>0</v>
      </c>
      <c r="AB27" s="142">
        <v>0</v>
      </c>
      <c r="AC27" s="142">
        <v>0</v>
      </c>
      <c r="AD27" s="142">
        <v>0</v>
      </c>
      <c r="AE27" s="143">
        <f t="shared" si="4"/>
        <v>0</v>
      </c>
    </row>
    <row r="28" spans="1:31" ht="14.4" outlineLevel="1">
      <c r="A28" s="686"/>
      <c r="B28" s="665" t="str">
        <f>'sources-uses'!B28</f>
        <v>[Additional Field - Specify]</v>
      </c>
      <c r="C28" s="143">
        <f>'sources-uses'!C28</f>
        <v>0</v>
      </c>
      <c r="D28" s="120"/>
      <c r="E28" s="143">
        <f t="shared" si="3"/>
        <v>0</v>
      </c>
      <c r="F28" s="180"/>
      <c r="G28" s="143">
        <f>'project budget'!$D28</f>
        <v>0</v>
      </c>
      <c r="H28" s="180"/>
      <c r="I28" s="143">
        <f>'project budget'!$E28</f>
        <v>0</v>
      </c>
      <c r="J28" s="180"/>
      <c r="K28" s="143">
        <f>'project budget'!$F28</f>
        <v>0</v>
      </c>
      <c r="L28" s="180"/>
      <c r="M28" s="143">
        <f>'project budget'!$G28</f>
        <v>0</v>
      </c>
      <c r="N28" s="180"/>
      <c r="O28" s="143">
        <f>'project budget'!$H28</f>
        <v>0</v>
      </c>
      <c r="P28" s="180"/>
      <c r="Q28" s="143">
        <f>'project budget'!$I28</f>
        <v>0</v>
      </c>
      <c r="R28" s="180"/>
      <c r="S28" s="143">
        <f>'project budget'!$J28</f>
        <v>0</v>
      </c>
      <c r="T28" s="180"/>
      <c r="U28" s="143">
        <f>'project budget'!$K28</f>
        <v>0</v>
      </c>
      <c r="V28" s="180"/>
      <c r="W28" s="143">
        <f>'project budget'!$L28</f>
        <v>0</v>
      </c>
      <c r="X28" s="180"/>
      <c r="Y28" s="143">
        <f>'project budget'!$M28</f>
        <v>0</v>
      </c>
      <c r="Z28" s="143">
        <f t="shared" si="5"/>
        <v>0</v>
      </c>
      <c r="AA28" s="143">
        <f t="shared" si="5"/>
        <v>0</v>
      </c>
      <c r="AB28" s="142">
        <v>0</v>
      </c>
      <c r="AC28" s="142">
        <v>0</v>
      </c>
      <c r="AD28" s="142">
        <v>0</v>
      </c>
      <c r="AE28" s="143">
        <f t="shared" si="4"/>
        <v>0</v>
      </c>
    </row>
    <row r="29" spans="1:31" ht="14.4" outlineLevel="1">
      <c r="A29" s="686"/>
      <c r="B29" s="665" t="str">
        <f>'sources-uses'!B29</f>
        <v>[Additional Field - Specify]</v>
      </c>
      <c r="C29" s="143">
        <f>'sources-uses'!C29</f>
        <v>0</v>
      </c>
      <c r="D29" s="180"/>
      <c r="E29" s="143">
        <f t="shared" si="3"/>
        <v>0</v>
      </c>
      <c r="F29" s="180"/>
      <c r="G29" s="143">
        <f>'project budget'!$D29</f>
        <v>0</v>
      </c>
      <c r="H29" s="180"/>
      <c r="I29" s="143">
        <f>'project budget'!$E29</f>
        <v>0</v>
      </c>
      <c r="J29" s="180"/>
      <c r="K29" s="143">
        <f>'project budget'!$F29</f>
        <v>0</v>
      </c>
      <c r="L29" s="180"/>
      <c r="M29" s="143">
        <f>'project budget'!$G29</f>
        <v>0</v>
      </c>
      <c r="N29" s="180"/>
      <c r="O29" s="143">
        <f>'project budget'!$H29</f>
        <v>0</v>
      </c>
      <c r="P29" s="180"/>
      <c r="Q29" s="143">
        <f>'project budget'!$I29</f>
        <v>0</v>
      </c>
      <c r="R29" s="180"/>
      <c r="S29" s="143">
        <f>'project budget'!$J29</f>
        <v>0</v>
      </c>
      <c r="T29" s="180"/>
      <c r="U29" s="143">
        <f>'project budget'!$K29</f>
        <v>0</v>
      </c>
      <c r="V29" s="180"/>
      <c r="W29" s="143">
        <f>'project budget'!$L29</f>
        <v>0</v>
      </c>
      <c r="X29" s="180"/>
      <c r="Y29" s="143">
        <f>'project budget'!$M29</f>
        <v>0</v>
      </c>
      <c r="Z29" s="143">
        <f t="shared" si="5"/>
        <v>0</v>
      </c>
      <c r="AA29" s="143">
        <f t="shared" si="5"/>
        <v>0</v>
      </c>
      <c r="AB29" s="142">
        <v>0</v>
      </c>
      <c r="AC29" s="142">
        <v>0</v>
      </c>
      <c r="AD29" s="142">
        <v>0</v>
      </c>
      <c r="AE29" s="143">
        <f t="shared" si="4"/>
        <v>0</v>
      </c>
    </row>
    <row r="30" spans="1:31" ht="14.4" outlineLevel="1">
      <c r="A30" s="686"/>
      <c r="B30" s="665" t="str">
        <f>'sources-uses'!B30</f>
        <v>[Additional Field - Specify]</v>
      </c>
      <c r="C30" s="143">
        <f>'sources-uses'!C30</f>
        <v>0</v>
      </c>
      <c r="D30" s="180"/>
      <c r="E30" s="143">
        <f t="shared" si="3"/>
        <v>0</v>
      </c>
      <c r="F30" s="180"/>
      <c r="G30" s="143">
        <f>'project budget'!$D30</f>
        <v>0</v>
      </c>
      <c r="H30" s="180"/>
      <c r="I30" s="143">
        <f>'project budget'!$E30</f>
        <v>0</v>
      </c>
      <c r="J30" s="180"/>
      <c r="K30" s="143">
        <f>'project budget'!$F30</f>
        <v>0</v>
      </c>
      <c r="L30" s="180"/>
      <c r="M30" s="143">
        <f>'project budget'!$G30</f>
        <v>0</v>
      </c>
      <c r="N30" s="180"/>
      <c r="O30" s="143">
        <f>'project budget'!$H30</f>
        <v>0</v>
      </c>
      <c r="P30" s="180"/>
      <c r="Q30" s="143">
        <f>'project budget'!$I30</f>
        <v>0</v>
      </c>
      <c r="R30" s="180"/>
      <c r="S30" s="143">
        <f>'project budget'!$J30</f>
        <v>0</v>
      </c>
      <c r="T30" s="180"/>
      <c r="U30" s="143">
        <f>'project budget'!$K30</f>
        <v>0</v>
      </c>
      <c r="V30" s="180"/>
      <c r="W30" s="143">
        <f>'project budget'!$L30</f>
        <v>0</v>
      </c>
      <c r="X30" s="180"/>
      <c r="Y30" s="143">
        <f>'project budget'!$M30</f>
        <v>0</v>
      </c>
      <c r="Z30" s="143">
        <f t="shared" si="5"/>
        <v>0</v>
      </c>
      <c r="AA30" s="143">
        <f t="shared" si="5"/>
        <v>0</v>
      </c>
      <c r="AB30" s="142">
        <v>0</v>
      </c>
      <c r="AC30" s="142">
        <v>0</v>
      </c>
      <c r="AD30" s="142">
        <v>0</v>
      </c>
      <c r="AE30" s="143">
        <f t="shared" si="4"/>
        <v>0</v>
      </c>
    </row>
    <row r="31" spans="1:31" ht="14.4" outlineLevel="1">
      <c r="A31" s="686"/>
      <c r="B31" s="665" t="str">
        <f>'sources-uses'!B31</f>
        <v>[Additional Field - Specify]</v>
      </c>
      <c r="C31" s="143">
        <f>'sources-uses'!C31</f>
        <v>0</v>
      </c>
      <c r="D31" s="180"/>
      <c r="E31" s="143">
        <f t="shared" si="3"/>
        <v>0</v>
      </c>
      <c r="F31" s="180"/>
      <c r="G31" s="143">
        <f>'project budget'!$D31</f>
        <v>0</v>
      </c>
      <c r="H31" s="180"/>
      <c r="I31" s="143">
        <f>'project budget'!$E31</f>
        <v>0</v>
      </c>
      <c r="J31" s="180"/>
      <c r="K31" s="143">
        <f>'project budget'!$F31</f>
        <v>0</v>
      </c>
      <c r="L31" s="180"/>
      <c r="M31" s="143">
        <f>'project budget'!$G31</f>
        <v>0</v>
      </c>
      <c r="N31" s="180"/>
      <c r="O31" s="143">
        <f>'project budget'!$H31</f>
        <v>0</v>
      </c>
      <c r="P31" s="180"/>
      <c r="Q31" s="143">
        <f>'project budget'!$I31</f>
        <v>0</v>
      </c>
      <c r="R31" s="180"/>
      <c r="S31" s="143">
        <f>'project budget'!$J31</f>
        <v>0</v>
      </c>
      <c r="T31" s="180"/>
      <c r="U31" s="143">
        <f>'project budget'!$K31</f>
        <v>0</v>
      </c>
      <c r="V31" s="180"/>
      <c r="W31" s="143">
        <f>'project budget'!$L31</f>
        <v>0</v>
      </c>
      <c r="X31" s="180"/>
      <c r="Y31" s="143">
        <f>'project budget'!$M31</f>
        <v>0</v>
      </c>
      <c r="Z31" s="143">
        <f t="shared" si="5"/>
        <v>0</v>
      </c>
      <c r="AA31" s="143">
        <f t="shared" si="5"/>
        <v>0</v>
      </c>
      <c r="AB31" s="142">
        <v>0</v>
      </c>
      <c r="AC31" s="142">
        <v>0</v>
      </c>
      <c r="AD31" s="142">
        <v>0</v>
      </c>
      <c r="AE31" s="143">
        <f t="shared" si="4"/>
        <v>0</v>
      </c>
    </row>
    <row r="32" spans="1:31" ht="14.4" outlineLevel="1">
      <c r="A32" s="686"/>
      <c r="B32" s="665" t="str">
        <f>'sources-uses'!B32</f>
        <v>[Additional Field - Specify]</v>
      </c>
      <c r="C32" s="143">
        <f>'sources-uses'!C32</f>
        <v>0</v>
      </c>
      <c r="D32" s="180"/>
      <c r="E32" s="143">
        <f t="shared" si="3"/>
        <v>0</v>
      </c>
      <c r="F32" s="180"/>
      <c r="G32" s="143">
        <f>'project budget'!$D32</f>
        <v>0</v>
      </c>
      <c r="H32" s="180"/>
      <c r="I32" s="143">
        <f>'project budget'!$E32</f>
        <v>0</v>
      </c>
      <c r="J32" s="180"/>
      <c r="K32" s="143">
        <f>'project budget'!$F32</f>
        <v>0</v>
      </c>
      <c r="L32" s="180"/>
      <c r="M32" s="143">
        <f>'project budget'!$G32</f>
        <v>0</v>
      </c>
      <c r="N32" s="180"/>
      <c r="O32" s="143">
        <f>'project budget'!$H32</f>
        <v>0</v>
      </c>
      <c r="P32" s="180"/>
      <c r="Q32" s="143">
        <f>'project budget'!$I32</f>
        <v>0</v>
      </c>
      <c r="R32" s="180"/>
      <c r="S32" s="143">
        <f>'project budget'!$J32</f>
        <v>0</v>
      </c>
      <c r="T32" s="180"/>
      <c r="U32" s="143">
        <f>'project budget'!$K32</f>
        <v>0</v>
      </c>
      <c r="V32" s="180"/>
      <c r="W32" s="143">
        <f>'project budget'!$L32</f>
        <v>0</v>
      </c>
      <c r="X32" s="180"/>
      <c r="Y32" s="143">
        <f>'project budget'!$M32</f>
        <v>0</v>
      </c>
      <c r="Z32" s="143">
        <f t="shared" si="5"/>
        <v>0</v>
      </c>
      <c r="AA32" s="143">
        <f t="shared" si="5"/>
        <v>0</v>
      </c>
      <c r="AB32" s="142">
        <v>0</v>
      </c>
      <c r="AC32" s="142">
        <v>0</v>
      </c>
      <c r="AD32" s="142">
        <v>0</v>
      </c>
      <c r="AE32" s="143">
        <f t="shared" si="4"/>
        <v>0</v>
      </c>
    </row>
    <row r="33" spans="1:31">
      <c r="A33" s="686"/>
      <c r="B33" s="669" t="str">
        <f>'sources-uses'!B33</f>
        <v>Subtotal - Hard Costs</v>
      </c>
      <c r="C33" s="179">
        <f>'sources-uses'!C33</f>
        <v>0</v>
      </c>
      <c r="D33" s="180"/>
      <c r="E33" s="180"/>
      <c r="F33" s="180"/>
      <c r="G33" s="688"/>
      <c r="H33" s="180"/>
      <c r="I33" s="688"/>
      <c r="J33" s="180"/>
      <c r="K33" s="688"/>
      <c r="L33" s="180"/>
      <c r="M33" s="688"/>
      <c r="N33" s="180"/>
      <c r="O33" s="688"/>
      <c r="P33" s="180"/>
      <c r="Q33" s="688"/>
      <c r="R33" s="180"/>
      <c r="S33" s="688"/>
      <c r="T33" s="180"/>
      <c r="U33" s="688"/>
      <c r="V33" s="180"/>
      <c r="W33" s="688"/>
      <c r="X33" s="180"/>
      <c r="Y33" s="688"/>
      <c r="Z33" s="688"/>
      <c r="AA33" s="688"/>
      <c r="AB33" s="688"/>
      <c r="AC33" s="688"/>
      <c r="AD33" s="688"/>
      <c r="AE33" s="688"/>
    </row>
    <row r="34" spans="1:31">
      <c r="A34" s="686"/>
      <c r="B34" s="669" t="str">
        <f>'sources-uses'!B34</f>
        <v>Subtotal - Acquisition and Hard Costs</v>
      </c>
      <c r="C34" s="179">
        <f>'sources-uses'!C34</f>
        <v>0</v>
      </c>
      <c r="D34" s="180"/>
      <c r="E34" s="180"/>
      <c r="F34" s="180"/>
      <c r="G34" s="688"/>
      <c r="H34" s="180"/>
      <c r="I34" s="688"/>
      <c r="J34" s="180"/>
      <c r="K34" s="688"/>
      <c r="L34" s="180"/>
      <c r="M34" s="688"/>
      <c r="N34" s="180"/>
      <c r="O34" s="688"/>
      <c r="P34" s="180"/>
      <c r="Q34" s="688"/>
      <c r="R34" s="180"/>
      <c r="S34" s="688"/>
      <c r="T34" s="180"/>
      <c r="U34" s="688"/>
      <c r="V34" s="180"/>
      <c r="W34" s="688"/>
      <c r="X34" s="180"/>
      <c r="Y34" s="688"/>
      <c r="Z34" s="688"/>
      <c r="AA34" s="688"/>
      <c r="AB34" s="688"/>
      <c r="AC34" s="688"/>
      <c r="AD34" s="688"/>
      <c r="AE34" s="688"/>
    </row>
    <row r="35" spans="1:31">
      <c r="A35" s="686"/>
      <c r="B35" s="590" t="str">
        <f>'sources-uses'!B35</f>
        <v>SOFT COSTS</v>
      </c>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row>
    <row r="36" spans="1:31">
      <c r="A36" s="686"/>
      <c r="B36" s="590" t="str">
        <f>'sources-uses'!B36</f>
        <v>Architectural</v>
      </c>
      <c r="C36" s="143">
        <f>'sources-uses'!C36</f>
        <v>0</v>
      </c>
      <c r="D36" s="180"/>
      <c r="E36" s="143">
        <f t="shared" ref="E36:E52" si="6">SUM(G36:Y36)</f>
        <v>0</v>
      </c>
      <c r="F36" s="180"/>
      <c r="G36" s="143">
        <f>'project budget'!$D36</f>
        <v>0</v>
      </c>
      <c r="H36" s="180"/>
      <c r="I36" s="143">
        <f>'project budget'!$E36</f>
        <v>0</v>
      </c>
      <c r="J36" s="180"/>
      <c r="K36" s="143">
        <f>'project budget'!$F36</f>
        <v>0</v>
      </c>
      <c r="L36" s="180"/>
      <c r="M36" s="143">
        <f>'project budget'!$G36</f>
        <v>0</v>
      </c>
      <c r="N36" s="180"/>
      <c r="O36" s="143">
        <f>'project budget'!$H36</f>
        <v>0</v>
      </c>
      <c r="P36" s="180"/>
      <c r="Q36" s="143">
        <f>'project budget'!$I36</f>
        <v>0</v>
      </c>
      <c r="R36" s="180"/>
      <c r="S36" s="143">
        <f>'project budget'!$J36</f>
        <v>0</v>
      </c>
      <c r="T36" s="180"/>
      <c r="U36" s="143">
        <f>'project budget'!$K36</f>
        <v>0</v>
      </c>
      <c r="V36" s="180"/>
      <c r="W36" s="143">
        <f>'project budget'!$L36</f>
        <v>0</v>
      </c>
      <c r="X36" s="180"/>
      <c r="Y36" s="143">
        <f>'project budget'!$M36</f>
        <v>0</v>
      </c>
      <c r="Z36" s="143">
        <f>$C36</f>
        <v>0</v>
      </c>
      <c r="AA36" s="143">
        <f t="shared" ref="Z36:AA50" si="7">$C36</f>
        <v>0</v>
      </c>
      <c r="AB36" s="180"/>
      <c r="AC36" s="180"/>
      <c r="AD36" s="142">
        <v>0</v>
      </c>
      <c r="AE36" s="143">
        <f t="shared" ref="AE36:AE65" si="8">C36</f>
        <v>0</v>
      </c>
    </row>
    <row r="37" spans="1:31">
      <c r="A37" s="686"/>
      <c r="B37" s="590" t="str">
        <f>'sources-uses'!B37</f>
        <v>Engineering</v>
      </c>
      <c r="C37" s="143">
        <f>'sources-uses'!C37</f>
        <v>0</v>
      </c>
      <c r="D37" s="180"/>
      <c r="E37" s="143">
        <f t="shared" si="6"/>
        <v>0</v>
      </c>
      <c r="F37" s="180"/>
      <c r="G37" s="143">
        <f>'project budget'!$D37</f>
        <v>0</v>
      </c>
      <c r="H37" s="180"/>
      <c r="I37" s="143">
        <f>'project budget'!$E37</f>
        <v>0</v>
      </c>
      <c r="J37" s="180"/>
      <c r="K37" s="143">
        <f>'project budget'!$F37</f>
        <v>0</v>
      </c>
      <c r="L37" s="180"/>
      <c r="M37" s="143">
        <f>'project budget'!$G37</f>
        <v>0</v>
      </c>
      <c r="N37" s="180"/>
      <c r="O37" s="143">
        <f>'project budget'!$H37</f>
        <v>0</v>
      </c>
      <c r="P37" s="180"/>
      <c r="Q37" s="143">
        <f>'project budget'!$I37</f>
        <v>0</v>
      </c>
      <c r="R37" s="180"/>
      <c r="S37" s="143">
        <f>'project budget'!$J37</f>
        <v>0</v>
      </c>
      <c r="T37" s="180"/>
      <c r="U37" s="143">
        <f>'project budget'!$K37</f>
        <v>0</v>
      </c>
      <c r="V37" s="180"/>
      <c r="W37" s="143">
        <f>'project budget'!$L37</f>
        <v>0</v>
      </c>
      <c r="X37" s="180"/>
      <c r="Y37" s="143">
        <f>'project budget'!$M37</f>
        <v>0</v>
      </c>
      <c r="Z37" s="143">
        <f t="shared" si="7"/>
        <v>0</v>
      </c>
      <c r="AA37" s="143">
        <f t="shared" si="7"/>
        <v>0</v>
      </c>
      <c r="AB37" s="180"/>
      <c r="AC37" s="180"/>
      <c r="AD37" s="142">
        <v>0</v>
      </c>
      <c r="AE37" s="143">
        <f t="shared" si="8"/>
        <v>0</v>
      </c>
    </row>
    <row r="38" spans="1:31">
      <c r="A38" s="686"/>
      <c r="B38" s="590" t="str">
        <f>'sources-uses'!B38</f>
        <v xml:space="preserve">A&amp;E Combined Contract </v>
      </c>
      <c r="C38" s="143">
        <f>'sources-uses'!C38</f>
        <v>0</v>
      </c>
      <c r="D38" s="180"/>
      <c r="E38" s="143">
        <f t="shared" si="6"/>
        <v>0</v>
      </c>
      <c r="F38" s="180"/>
      <c r="G38" s="143">
        <f>'project budget'!$D38</f>
        <v>0</v>
      </c>
      <c r="H38" s="180"/>
      <c r="I38" s="143">
        <f>'project budget'!$E38</f>
        <v>0</v>
      </c>
      <c r="J38" s="180"/>
      <c r="K38" s="143">
        <f>'project budget'!$F38</f>
        <v>0</v>
      </c>
      <c r="L38" s="180"/>
      <c r="M38" s="143">
        <f>'project budget'!$G38</f>
        <v>0</v>
      </c>
      <c r="N38" s="180"/>
      <c r="O38" s="143">
        <f>'project budget'!$H38</f>
        <v>0</v>
      </c>
      <c r="P38" s="180"/>
      <c r="Q38" s="143">
        <f>'project budget'!$I38</f>
        <v>0</v>
      </c>
      <c r="R38" s="180"/>
      <c r="S38" s="143">
        <f>'project budget'!$J38</f>
        <v>0</v>
      </c>
      <c r="T38" s="180"/>
      <c r="U38" s="143">
        <f>'project budget'!$K38</f>
        <v>0</v>
      </c>
      <c r="V38" s="180"/>
      <c r="W38" s="143">
        <f>'project budget'!$L38</f>
        <v>0</v>
      </c>
      <c r="X38" s="180"/>
      <c r="Y38" s="143">
        <f>'project budget'!$M38</f>
        <v>0</v>
      </c>
      <c r="Z38" s="143">
        <f t="shared" si="7"/>
        <v>0</v>
      </c>
      <c r="AA38" s="143">
        <f t="shared" si="7"/>
        <v>0</v>
      </c>
      <c r="AB38" s="180"/>
      <c r="AC38" s="180"/>
      <c r="AD38" s="142">
        <v>0</v>
      </c>
      <c r="AE38" s="143">
        <f t="shared" si="8"/>
        <v>0</v>
      </c>
    </row>
    <row r="39" spans="1:31">
      <c r="A39" s="686"/>
      <c r="B39" s="590" t="str">
        <f>'sources-uses'!B39</f>
        <v>Legal/Accounting</v>
      </c>
      <c r="C39" s="143">
        <f>'sources-uses'!C39</f>
        <v>0</v>
      </c>
      <c r="D39" s="180"/>
      <c r="E39" s="143">
        <f t="shared" si="6"/>
        <v>0</v>
      </c>
      <c r="F39" s="180"/>
      <c r="G39" s="143">
        <f>'project budget'!$D39</f>
        <v>0</v>
      </c>
      <c r="H39" s="180"/>
      <c r="I39" s="143">
        <f>'project budget'!$E39</f>
        <v>0</v>
      </c>
      <c r="J39" s="180"/>
      <c r="K39" s="143">
        <f>'project budget'!$F39</f>
        <v>0</v>
      </c>
      <c r="L39" s="180"/>
      <c r="M39" s="143">
        <f>'project budget'!$G39</f>
        <v>0</v>
      </c>
      <c r="N39" s="180"/>
      <c r="O39" s="143">
        <f>'project budget'!$H39</f>
        <v>0</v>
      </c>
      <c r="P39" s="180"/>
      <c r="Q39" s="143">
        <f>'project budget'!$I39</f>
        <v>0</v>
      </c>
      <c r="R39" s="180"/>
      <c r="S39" s="143">
        <f>'project budget'!$J39</f>
        <v>0</v>
      </c>
      <c r="T39" s="180"/>
      <c r="U39" s="143">
        <f>'project budget'!$K39</f>
        <v>0</v>
      </c>
      <c r="V39" s="180"/>
      <c r="W39" s="143">
        <f>'project budget'!$L39</f>
        <v>0</v>
      </c>
      <c r="X39" s="180"/>
      <c r="Y39" s="143">
        <f>'project budget'!$M39</f>
        <v>0</v>
      </c>
      <c r="Z39" s="143">
        <f t="shared" si="7"/>
        <v>0</v>
      </c>
      <c r="AA39" s="143">
        <f t="shared" si="7"/>
        <v>0</v>
      </c>
      <c r="AB39" s="180"/>
      <c r="AC39" s="180"/>
      <c r="AD39" s="142">
        <v>0</v>
      </c>
      <c r="AE39" s="143">
        <f t="shared" si="8"/>
        <v>0</v>
      </c>
    </row>
    <row r="40" spans="1:31">
      <c r="A40" s="686"/>
      <c r="B40" s="590" t="str">
        <f>'sources-uses'!B40</f>
        <v>Relocation</v>
      </c>
      <c r="C40" s="143">
        <f>'sources-uses'!C40</f>
        <v>0</v>
      </c>
      <c r="D40" s="180"/>
      <c r="E40" s="143">
        <f t="shared" si="6"/>
        <v>0</v>
      </c>
      <c r="F40" s="180"/>
      <c r="G40" s="143">
        <f>'project budget'!$D40</f>
        <v>0</v>
      </c>
      <c r="H40" s="180"/>
      <c r="I40" s="143">
        <f>'project budget'!$E40</f>
        <v>0</v>
      </c>
      <c r="J40" s="180"/>
      <c r="K40" s="143">
        <f>'project budget'!$F40</f>
        <v>0</v>
      </c>
      <c r="L40" s="180"/>
      <c r="M40" s="143">
        <f>'project budget'!$G40</f>
        <v>0</v>
      </c>
      <c r="N40" s="180"/>
      <c r="O40" s="143">
        <f>'project budget'!$H40</f>
        <v>0</v>
      </c>
      <c r="P40" s="180"/>
      <c r="Q40" s="143">
        <f>'project budget'!$I40</f>
        <v>0</v>
      </c>
      <c r="R40" s="180"/>
      <c r="S40" s="143">
        <f>'project budget'!$J40</f>
        <v>0</v>
      </c>
      <c r="T40" s="180"/>
      <c r="U40" s="143">
        <f>'project budget'!$K40</f>
        <v>0</v>
      </c>
      <c r="V40" s="180"/>
      <c r="W40" s="143">
        <f>'project budget'!$L40</f>
        <v>0</v>
      </c>
      <c r="X40" s="180"/>
      <c r="Y40" s="143">
        <f>'project budget'!$M40</f>
        <v>0</v>
      </c>
      <c r="Z40" s="143">
        <f t="shared" si="7"/>
        <v>0</v>
      </c>
      <c r="AA40" s="143">
        <f t="shared" si="7"/>
        <v>0</v>
      </c>
      <c r="AB40" s="180"/>
      <c r="AC40" s="180"/>
      <c r="AD40" s="142">
        <v>0</v>
      </c>
      <c r="AE40" s="143">
        <f t="shared" si="8"/>
        <v>0</v>
      </c>
    </row>
    <row r="41" spans="1:31">
      <c r="A41" s="686"/>
      <c r="B41" s="590" t="str">
        <f>'sources-uses'!B41</f>
        <v>Construction Inspections</v>
      </c>
      <c r="C41" s="143">
        <f>'sources-uses'!C41</f>
        <v>0</v>
      </c>
      <c r="D41" s="180"/>
      <c r="E41" s="143">
        <f t="shared" si="6"/>
        <v>0</v>
      </c>
      <c r="F41" s="180"/>
      <c r="G41" s="143">
        <f>'project budget'!$D41</f>
        <v>0</v>
      </c>
      <c r="H41" s="180"/>
      <c r="I41" s="143">
        <f>'project budget'!$E41</f>
        <v>0</v>
      </c>
      <c r="J41" s="180"/>
      <c r="K41" s="143">
        <f>'project budget'!$F41</f>
        <v>0</v>
      </c>
      <c r="L41" s="180"/>
      <c r="M41" s="143">
        <f>'project budget'!$G41</f>
        <v>0</v>
      </c>
      <c r="N41" s="180"/>
      <c r="O41" s="143">
        <f>'project budget'!$H41</f>
        <v>0</v>
      </c>
      <c r="P41" s="180"/>
      <c r="Q41" s="143">
        <f>'project budget'!$I41</f>
        <v>0</v>
      </c>
      <c r="R41" s="180"/>
      <c r="S41" s="143">
        <f>'project budget'!$J41</f>
        <v>0</v>
      </c>
      <c r="T41" s="180"/>
      <c r="U41" s="143">
        <f>'project budget'!$K41</f>
        <v>0</v>
      </c>
      <c r="V41" s="180"/>
      <c r="W41" s="143">
        <f>'project budget'!$L41</f>
        <v>0</v>
      </c>
      <c r="X41" s="180"/>
      <c r="Y41" s="143">
        <f>'project budget'!$M41</f>
        <v>0</v>
      </c>
      <c r="Z41" s="143">
        <f t="shared" si="7"/>
        <v>0</v>
      </c>
      <c r="AA41" s="143">
        <f t="shared" si="7"/>
        <v>0</v>
      </c>
      <c r="AB41" s="180"/>
      <c r="AC41" s="180"/>
      <c r="AD41" s="142">
        <v>0</v>
      </c>
      <c r="AE41" s="143">
        <f t="shared" si="8"/>
        <v>0</v>
      </c>
    </row>
    <row r="42" spans="1:31">
      <c r="A42" s="686"/>
      <c r="B42" s="590" t="str">
        <f>'sources-uses'!B42</f>
        <v>Environmental Assessment</v>
      </c>
      <c r="C42" s="143">
        <f>'sources-uses'!C42</f>
        <v>0</v>
      </c>
      <c r="D42" s="180"/>
      <c r="E42" s="143">
        <f t="shared" si="6"/>
        <v>0</v>
      </c>
      <c r="F42" s="180"/>
      <c r="G42" s="143">
        <f>'project budget'!$D42</f>
        <v>0</v>
      </c>
      <c r="H42" s="180"/>
      <c r="I42" s="143">
        <f>'project budget'!$E42</f>
        <v>0</v>
      </c>
      <c r="J42" s="180"/>
      <c r="K42" s="143">
        <f>'project budget'!$F42</f>
        <v>0</v>
      </c>
      <c r="L42" s="180"/>
      <c r="M42" s="143">
        <f>'project budget'!$G42</f>
        <v>0</v>
      </c>
      <c r="N42" s="180"/>
      <c r="O42" s="143">
        <f>'project budget'!$H42</f>
        <v>0</v>
      </c>
      <c r="P42" s="180"/>
      <c r="Q42" s="143">
        <f>'project budget'!$I42</f>
        <v>0</v>
      </c>
      <c r="R42" s="180"/>
      <c r="S42" s="143">
        <f>'project budget'!$J42</f>
        <v>0</v>
      </c>
      <c r="T42" s="180"/>
      <c r="U42" s="143">
        <f>'project budget'!$K42</f>
        <v>0</v>
      </c>
      <c r="V42" s="180"/>
      <c r="W42" s="143">
        <f>'project budget'!$L42</f>
        <v>0</v>
      </c>
      <c r="X42" s="180"/>
      <c r="Y42" s="143">
        <f>'project budget'!$M42</f>
        <v>0</v>
      </c>
      <c r="Z42" s="143">
        <f t="shared" si="7"/>
        <v>0</v>
      </c>
      <c r="AA42" s="143">
        <f t="shared" si="7"/>
        <v>0</v>
      </c>
      <c r="AB42" s="180"/>
      <c r="AC42" s="180"/>
      <c r="AD42" s="142">
        <v>0</v>
      </c>
      <c r="AE42" s="143">
        <f t="shared" si="8"/>
        <v>0</v>
      </c>
    </row>
    <row r="43" spans="1:31">
      <c r="A43" s="686"/>
      <c r="B43" s="590" t="str">
        <f>'sources-uses'!B43</f>
        <v>Energy Assessment</v>
      </c>
      <c r="C43" s="143">
        <f>'sources-uses'!C43</f>
        <v>0</v>
      </c>
      <c r="D43" s="180"/>
      <c r="E43" s="143">
        <f t="shared" si="6"/>
        <v>0</v>
      </c>
      <c r="F43" s="180"/>
      <c r="G43" s="143">
        <f>'project budget'!$D43</f>
        <v>0</v>
      </c>
      <c r="H43" s="180"/>
      <c r="I43" s="143">
        <f>'project budget'!$E43</f>
        <v>0</v>
      </c>
      <c r="J43" s="180"/>
      <c r="K43" s="143">
        <f>'project budget'!$F43</f>
        <v>0</v>
      </c>
      <c r="L43" s="180"/>
      <c r="M43" s="143">
        <f>'project budget'!$G43</f>
        <v>0</v>
      </c>
      <c r="N43" s="180"/>
      <c r="O43" s="143">
        <f>'project budget'!$H43</f>
        <v>0</v>
      </c>
      <c r="P43" s="180"/>
      <c r="Q43" s="143">
        <f>'project budget'!$I43</f>
        <v>0</v>
      </c>
      <c r="R43" s="180"/>
      <c r="S43" s="143">
        <f>'project budget'!$J43</f>
        <v>0</v>
      </c>
      <c r="T43" s="180"/>
      <c r="U43" s="143">
        <f>'project budget'!$K43</f>
        <v>0</v>
      </c>
      <c r="V43" s="180"/>
      <c r="W43" s="143">
        <f>'project budget'!$L43</f>
        <v>0</v>
      </c>
      <c r="X43" s="180"/>
      <c r="Y43" s="143">
        <f>'project budget'!$M43</f>
        <v>0</v>
      </c>
      <c r="Z43" s="143">
        <f t="shared" si="7"/>
        <v>0</v>
      </c>
      <c r="AA43" s="143">
        <f t="shared" si="7"/>
        <v>0</v>
      </c>
      <c r="AB43" s="180"/>
      <c r="AC43" s="180"/>
      <c r="AD43" s="142">
        <v>0</v>
      </c>
      <c r="AE43" s="143">
        <f t="shared" si="8"/>
        <v>0</v>
      </c>
    </row>
    <row r="44" spans="1:31">
      <c r="A44" s="686"/>
      <c r="B44" s="590" t="str">
        <f>'sources-uses'!B44</f>
        <v>Permits/Fees</v>
      </c>
      <c r="C44" s="143">
        <f>'sources-uses'!C44</f>
        <v>0</v>
      </c>
      <c r="D44" s="180"/>
      <c r="E44" s="143">
        <f t="shared" si="6"/>
        <v>0</v>
      </c>
      <c r="F44" s="180"/>
      <c r="G44" s="143">
        <f>'project budget'!$D44</f>
        <v>0</v>
      </c>
      <c r="H44" s="180"/>
      <c r="I44" s="143">
        <f>'project budget'!$E44</f>
        <v>0</v>
      </c>
      <c r="J44" s="180"/>
      <c r="K44" s="143">
        <f>'project budget'!$F44</f>
        <v>0</v>
      </c>
      <c r="L44" s="180"/>
      <c r="M44" s="143">
        <f>'project budget'!$G44</f>
        <v>0</v>
      </c>
      <c r="N44" s="180"/>
      <c r="O44" s="143">
        <f>'project budget'!$H44</f>
        <v>0</v>
      </c>
      <c r="P44" s="180"/>
      <c r="Q44" s="143">
        <f>'project budget'!$I44</f>
        <v>0</v>
      </c>
      <c r="R44" s="180"/>
      <c r="S44" s="143">
        <f>'project budget'!$J44</f>
        <v>0</v>
      </c>
      <c r="T44" s="180"/>
      <c r="U44" s="143">
        <f>'project budget'!$K44</f>
        <v>0</v>
      </c>
      <c r="V44" s="180"/>
      <c r="W44" s="143">
        <f>'project budget'!$L44</f>
        <v>0</v>
      </c>
      <c r="X44" s="180"/>
      <c r="Y44" s="143">
        <f>'project budget'!$M44</f>
        <v>0</v>
      </c>
      <c r="Z44" s="143">
        <f t="shared" si="7"/>
        <v>0</v>
      </c>
      <c r="AA44" s="143">
        <f t="shared" si="7"/>
        <v>0</v>
      </c>
      <c r="AB44" s="180"/>
      <c r="AC44" s="180"/>
      <c r="AD44" s="142">
        <v>0</v>
      </c>
      <c r="AE44" s="143">
        <f t="shared" si="8"/>
        <v>0</v>
      </c>
    </row>
    <row r="45" spans="1:31">
      <c r="A45" s="686"/>
      <c r="B45" s="590" t="str">
        <f>'sources-uses'!B45</f>
        <v>Market Study</v>
      </c>
      <c r="C45" s="143">
        <f>'sources-uses'!C45</f>
        <v>0</v>
      </c>
      <c r="D45" s="180"/>
      <c r="E45" s="143">
        <f t="shared" si="6"/>
        <v>0</v>
      </c>
      <c r="F45" s="180"/>
      <c r="G45" s="143">
        <f>'project budget'!$D45</f>
        <v>0</v>
      </c>
      <c r="H45" s="180"/>
      <c r="I45" s="143">
        <f>'project budget'!$E45</f>
        <v>0</v>
      </c>
      <c r="J45" s="180"/>
      <c r="K45" s="143">
        <f>'project budget'!$F45</f>
        <v>0</v>
      </c>
      <c r="L45" s="180"/>
      <c r="M45" s="143">
        <f>'project budget'!$G45</f>
        <v>0</v>
      </c>
      <c r="N45" s="180"/>
      <c r="O45" s="143">
        <f>'project budget'!$H45</f>
        <v>0</v>
      </c>
      <c r="P45" s="180"/>
      <c r="Q45" s="143">
        <f>'project budget'!$I45</f>
        <v>0</v>
      </c>
      <c r="R45" s="180"/>
      <c r="S45" s="143">
        <f>'project budget'!$J45</f>
        <v>0</v>
      </c>
      <c r="T45" s="180"/>
      <c r="U45" s="143">
        <f>'project budget'!$K45</f>
        <v>0</v>
      </c>
      <c r="V45" s="180"/>
      <c r="W45" s="143">
        <f>'project budget'!$L45</f>
        <v>0</v>
      </c>
      <c r="X45" s="180"/>
      <c r="Y45" s="143">
        <f>'project budget'!$M45</f>
        <v>0</v>
      </c>
      <c r="Z45" s="143">
        <f t="shared" si="7"/>
        <v>0</v>
      </c>
      <c r="AA45" s="143">
        <f t="shared" si="7"/>
        <v>0</v>
      </c>
      <c r="AB45" s="180"/>
      <c r="AC45" s="180"/>
      <c r="AD45" s="142">
        <v>0</v>
      </c>
      <c r="AE45" s="143">
        <f t="shared" si="8"/>
        <v>0</v>
      </c>
    </row>
    <row r="46" spans="1:31">
      <c r="A46" s="686"/>
      <c r="B46" s="590" t="str">
        <f>'sources-uses'!B46</f>
        <v>Cost Certification</v>
      </c>
      <c r="C46" s="143">
        <f>'sources-uses'!C46</f>
        <v>0</v>
      </c>
      <c r="D46" s="180"/>
      <c r="E46" s="143">
        <f t="shared" si="6"/>
        <v>0</v>
      </c>
      <c r="F46" s="180"/>
      <c r="G46" s="143">
        <f>'project budget'!$D46</f>
        <v>0</v>
      </c>
      <c r="H46" s="180"/>
      <c r="I46" s="143">
        <f>'project budget'!$E46</f>
        <v>0</v>
      </c>
      <c r="J46" s="180"/>
      <c r="K46" s="143">
        <f>'project budget'!$F46</f>
        <v>0</v>
      </c>
      <c r="L46" s="180"/>
      <c r="M46" s="143">
        <f>'project budget'!$G46</f>
        <v>0</v>
      </c>
      <c r="N46" s="180"/>
      <c r="O46" s="143">
        <f>'project budget'!$H46</f>
        <v>0</v>
      </c>
      <c r="P46" s="180"/>
      <c r="Q46" s="143">
        <f>'project budget'!$I46</f>
        <v>0</v>
      </c>
      <c r="R46" s="180"/>
      <c r="S46" s="143">
        <f>'project budget'!$J46</f>
        <v>0</v>
      </c>
      <c r="T46" s="180"/>
      <c r="U46" s="143">
        <f>'project budget'!$K46</f>
        <v>0</v>
      </c>
      <c r="V46" s="180"/>
      <c r="W46" s="143">
        <f>'project budget'!$L46</f>
        <v>0</v>
      </c>
      <c r="X46" s="180"/>
      <c r="Y46" s="143">
        <f>'project budget'!$M46</f>
        <v>0</v>
      </c>
      <c r="Z46" s="143">
        <f t="shared" si="7"/>
        <v>0</v>
      </c>
      <c r="AA46" s="143">
        <f t="shared" si="7"/>
        <v>0</v>
      </c>
      <c r="AB46" s="180"/>
      <c r="AC46" s="180"/>
      <c r="AD46" s="142">
        <v>0</v>
      </c>
      <c r="AE46" s="143">
        <f t="shared" si="8"/>
        <v>0</v>
      </c>
    </row>
    <row r="47" spans="1:31">
      <c r="A47" s="686"/>
      <c r="B47" s="590" t="str">
        <f>'sources-uses'!B47</f>
        <v>Capital Needs Assessment</v>
      </c>
      <c r="C47" s="143">
        <f>'sources-uses'!C47</f>
        <v>0</v>
      </c>
      <c r="D47" s="180"/>
      <c r="E47" s="143">
        <f t="shared" si="6"/>
        <v>0</v>
      </c>
      <c r="F47" s="180"/>
      <c r="G47" s="143">
        <f>'project budget'!$D47</f>
        <v>0</v>
      </c>
      <c r="H47" s="180"/>
      <c r="I47" s="143">
        <f>'project budget'!$E47</f>
        <v>0</v>
      </c>
      <c r="J47" s="180"/>
      <c r="K47" s="143">
        <f>'project budget'!$F47</f>
        <v>0</v>
      </c>
      <c r="L47" s="180"/>
      <c r="M47" s="143">
        <f>'project budget'!$G47</f>
        <v>0</v>
      </c>
      <c r="N47" s="180"/>
      <c r="O47" s="143">
        <f>'project budget'!$H47</f>
        <v>0</v>
      </c>
      <c r="P47" s="180"/>
      <c r="Q47" s="143">
        <f>'project budget'!$I47</f>
        <v>0</v>
      </c>
      <c r="R47" s="180"/>
      <c r="S47" s="143">
        <f>'project budget'!$J47</f>
        <v>0</v>
      </c>
      <c r="T47" s="180"/>
      <c r="U47" s="143">
        <f>'project budget'!$K47</f>
        <v>0</v>
      </c>
      <c r="V47" s="180"/>
      <c r="W47" s="143">
        <f>'project budget'!$L47</f>
        <v>0</v>
      </c>
      <c r="X47" s="180"/>
      <c r="Y47" s="143">
        <f>'project budget'!$M47</f>
        <v>0</v>
      </c>
      <c r="Z47" s="143">
        <f t="shared" si="7"/>
        <v>0</v>
      </c>
      <c r="AA47" s="143">
        <f t="shared" si="7"/>
        <v>0</v>
      </c>
      <c r="AB47" s="180"/>
      <c r="AC47" s="180"/>
      <c r="AD47" s="142">
        <v>0</v>
      </c>
      <c r="AE47" s="143">
        <f t="shared" si="8"/>
        <v>0</v>
      </c>
    </row>
    <row r="48" spans="1:31">
      <c r="A48" s="686"/>
      <c r="B48" s="590" t="str">
        <f>'sources-uses'!B48</f>
        <v>Construction Period Insurance</v>
      </c>
      <c r="C48" s="143">
        <f>'sources-uses'!C48</f>
        <v>0</v>
      </c>
      <c r="D48" s="180"/>
      <c r="E48" s="143">
        <f t="shared" si="6"/>
        <v>0</v>
      </c>
      <c r="F48" s="180"/>
      <c r="G48" s="143">
        <f>'project budget'!$D48</f>
        <v>0</v>
      </c>
      <c r="H48" s="180"/>
      <c r="I48" s="143">
        <f>'project budget'!$E48</f>
        <v>0</v>
      </c>
      <c r="J48" s="180"/>
      <c r="K48" s="143">
        <f>'project budget'!$F48</f>
        <v>0</v>
      </c>
      <c r="L48" s="180"/>
      <c r="M48" s="143">
        <f>'project budget'!$G48</f>
        <v>0</v>
      </c>
      <c r="N48" s="180"/>
      <c r="O48" s="143">
        <f>'project budget'!$H48</f>
        <v>0</v>
      </c>
      <c r="P48" s="180"/>
      <c r="Q48" s="143">
        <f>'project budget'!$I48</f>
        <v>0</v>
      </c>
      <c r="R48" s="180"/>
      <c r="S48" s="143">
        <f>'project budget'!$J48</f>
        <v>0</v>
      </c>
      <c r="T48" s="180"/>
      <c r="U48" s="143">
        <f>'project budget'!$K48</f>
        <v>0</v>
      </c>
      <c r="V48" s="180"/>
      <c r="W48" s="143">
        <f>'project budget'!$L48</f>
        <v>0</v>
      </c>
      <c r="X48" s="180"/>
      <c r="Y48" s="143">
        <f>'project budget'!$M48</f>
        <v>0</v>
      </c>
      <c r="Z48" s="143">
        <f t="shared" si="7"/>
        <v>0</v>
      </c>
      <c r="AA48" s="143">
        <f t="shared" si="7"/>
        <v>0</v>
      </c>
      <c r="AB48" s="180"/>
      <c r="AC48" s="180"/>
      <c r="AD48" s="142">
        <v>0</v>
      </c>
      <c r="AE48" s="143">
        <f t="shared" si="8"/>
        <v>0</v>
      </c>
    </row>
    <row r="49" spans="1:31">
      <c r="A49" s="686"/>
      <c r="B49" s="590" t="str">
        <f>'sources-uses'!B49</f>
        <v>Construction Loan Interest</v>
      </c>
      <c r="C49" s="143">
        <f>'sources-uses'!C49</f>
        <v>0</v>
      </c>
      <c r="D49" s="180"/>
      <c r="E49" s="143">
        <f t="shared" si="6"/>
        <v>0</v>
      </c>
      <c r="F49" s="180"/>
      <c r="G49" s="143">
        <f>'project budget'!$D49</f>
        <v>0</v>
      </c>
      <c r="H49" s="180"/>
      <c r="I49" s="143">
        <f>'project budget'!$E49</f>
        <v>0</v>
      </c>
      <c r="J49" s="180"/>
      <c r="K49" s="143">
        <f>'project budget'!$F49</f>
        <v>0</v>
      </c>
      <c r="L49" s="180"/>
      <c r="M49" s="143">
        <f>'project budget'!$G49</f>
        <v>0</v>
      </c>
      <c r="N49" s="180"/>
      <c r="O49" s="143">
        <f>'project budget'!$H49</f>
        <v>0</v>
      </c>
      <c r="P49" s="180"/>
      <c r="Q49" s="143">
        <f>'project budget'!$I49</f>
        <v>0</v>
      </c>
      <c r="R49" s="180"/>
      <c r="S49" s="143">
        <f>'project budget'!$J49</f>
        <v>0</v>
      </c>
      <c r="T49" s="180"/>
      <c r="U49" s="143">
        <f>'project budget'!$K49</f>
        <v>0</v>
      </c>
      <c r="V49" s="180"/>
      <c r="W49" s="143">
        <f>'project budget'!$L49</f>
        <v>0</v>
      </c>
      <c r="X49" s="180"/>
      <c r="Y49" s="143">
        <f>'project budget'!$M49</f>
        <v>0</v>
      </c>
      <c r="Z49" s="143">
        <f t="shared" si="7"/>
        <v>0</v>
      </c>
      <c r="AA49" s="143">
        <f t="shared" si="7"/>
        <v>0</v>
      </c>
      <c r="AB49" s="180"/>
      <c r="AC49" s="180"/>
      <c r="AD49" s="142">
        <v>0</v>
      </c>
      <c r="AE49" s="143">
        <f t="shared" si="8"/>
        <v>0</v>
      </c>
    </row>
    <row r="50" spans="1:31">
      <c r="A50" s="686"/>
      <c r="B50" s="590" t="str">
        <f>'sources-uses'!B50</f>
        <v>Construction Loan Origination Fee</v>
      </c>
      <c r="C50" s="143">
        <f>'sources-uses'!C50</f>
        <v>0</v>
      </c>
      <c r="D50" s="180"/>
      <c r="E50" s="143">
        <f>SUM(G50:Y50)</f>
        <v>0</v>
      </c>
      <c r="F50" s="180"/>
      <c r="G50" s="143">
        <f>'project budget'!$D50</f>
        <v>0</v>
      </c>
      <c r="H50" s="180"/>
      <c r="I50" s="143">
        <f>'project budget'!$E50</f>
        <v>0</v>
      </c>
      <c r="J50" s="180"/>
      <c r="K50" s="143">
        <f>'project budget'!$F50</f>
        <v>0</v>
      </c>
      <c r="L50" s="180"/>
      <c r="M50" s="143">
        <f>'project budget'!$G50</f>
        <v>0</v>
      </c>
      <c r="N50" s="180"/>
      <c r="O50" s="143">
        <f>'project budget'!$H50</f>
        <v>0</v>
      </c>
      <c r="P50" s="180"/>
      <c r="Q50" s="143">
        <f>'project budget'!$I50</f>
        <v>0</v>
      </c>
      <c r="R50" s="180"/>
      <c r="S50" s="143">
        <f>'project budget'!$J50</f>
        <v>0</v>
      </c>
      <c r="T50" s="180"/>
      <c r="U50" s="143">
        <f>'project budget'!$K50</f>
        <v>0</v>
      </c>
      <c r="V50" s="180"/>
      <c r="W50" s="143">
        <f>'project budget'!$L50</f>
        <v>0</v>
      </c>
      <c r="X50" s="180"/>
      <c r="Y50" s="143">
        <f>'project budget'!$M50</f>
        <v>0</v>
      </c>
      <c r="Z50" s="143">
        <f t="shared" ref="Z50:AA52" si="9">$C50</f>
        <v>0</v>
      </c>
      <c r="AA50" s="143">
        <f t="shared" si="7"/>
        <v>0</v>
      </c>
      <c r="AB50" s="180"/>
      <c r="AC50" s="180"/>
      <c r="AD50" s="142">
        <v>0</v>
      </c>
      <c r="AE50" s="143">
        <f t="shared" si="8"/>
        <v>0</v>
      </c>
    </row>
    <row r="51" spans="1:31">
      <c r="A51" s="686"/>
      <c r="B51" s="590" t="str">
        <f>'sources-uses'!B51</f>
        <v>Taxes During Construction</v>
      </c>
      <c r="C51" s="143">
        <f>'sources-uses'!C51</f>
        <v>0</v>
      </c>
      <c r="D51" s="120"/>
      <c r="E51" s="143">
        <f t="shared" si="6"/>
        <v>0</v>
      </c>
      <c r="F51" s="120"/>
      <c r="G51" s="143">
        <f>'project budget'!$D51</f>
        <v>0</v>
      </c>
      <c r="H51" s="120"/>
      <c r="I51" s="143">
        <f>'project budget'!$E51</f>
        <v>0</v>
      </c>
      <c r="J51" s="120"/>
      <c r="K51" s="143">
        <f>'project budget'!$F51</f>
        <v>0</v>
      </c>
      <c r="L51" s="120"/>
      <c r="M51" s="143">
        <f>'project budget'!$G51</f>
        <v>0</v>
      </c>
      <c r="N51" s="120"/>
      <c r="O51" s="143">
        <f>'project budget'!$H51</f>
        <v>0</v>
      </c>
      <c r="P51" s="120"/>
      <c r="Q51" s="143">
        <f>'project budget'!$I51</f>
        <v>0</v>
      </c>
      <c r="R51" s="120"/>
      <c r="S51" s="143">
        <f>'project budget'!$J51</f>
        <v>0</v>
      </c>
      <c r="T51" s="120"/>
      <c r="U51" s="143">
        <f>'project budget'!$K51</f>
        <v>0</v>
      </c>
      <c r="V51" s="120"/>
      <c r="W51" s="143">
        <f>'project budget'!$L51</f>
        <v>0</v>
      </c>
      <c r="X51" s="120"/>
      <c r="Y51" s="143">
        <f>'project budget'!$M51</f>
        <v>0</v>
      </c>
      <c r="Z51" s="97">
        <f t="shared" si="9"/>
        <v>0</v>
      </c>
      <c r="AA51" s="97">
        <f t="shared" si="9"/>
        <v>0</v>
      </c>
      <c r="AB51" s="120"/>
      <c r="AC51" s="120"/>
      <c r="AD51" s="6">
        <v>0</v>
      </c>
      <c r="AE51" s="97">
        <f t="shared" si="8"/>
        <v>0</v>
      </c>
    </row>
    <row r="52" spans="1:31">
      <c r="A52" s="686"/>
      <c r="B52" s="590" t="str">
        <f>'sources-uses'!B52</f>
        <v>Clerk of the Works</v>
      </c>
      <c r="C52" s="143">
        <f>'sources-uses'!C52</f>
        <v>0</v>
      </c>
      <c r="D52" s="120"/>
      <c r="E52" s="143">
        <f t="shared" si="6"/>
        <v>0</v>
      </c>
      <c r="F52" s="120"/>
      <c r="G52" s="143">
        <f>'project budget'!$D52</f>
        <v>0</v>
      </c>
      <c r="H52" s="120"/>
      <c r="I52" s="143">
        <f>'project budget'!$E52</f>
        <v>0</v>
      </c>
      <c r="J52" s="120"/>
      <c r="K52" s="143">
        <f>'project budget'!$F52</f>
        <v>0</v>
      </c>
      <c r="L52" s="120"/>
      <c r="M52" s="143">
        <f>'project budget'!$G52</f>
        <v>0</v>
      </c>
      <c r="N52" s="120"/>
      <c r="O52" s="143">
        <f>'project budget'!$H52</f>
        <v>0</v>
      </c>
      <c r="P52" s="120"/>
      <c r="Q52" s="143">
        <f>'project budget'!$I52</f>
        <v>0</v>
      </c>
      <c r="R52" s="120"/>
      <c r="S52" s="143">
        <f>'project budget'!$J52</f>
        <v>0</v>
      </c>
      <c r="T52" s="120"/>
      <c r="U52" s="143">
        <f>'project budget'!$K52</f>
        <v>0</v>
      </c>
      <c r="V52" s="120"/>
      <c r="W52" s="143">
        <f>'project budget'!$L52</f>
        <v>0</v>
      </c>
      <c r="X52" s="120"/>
      <c r="Y52" s="143">
        <f>'project budget'!$M52</f>
        <v>0</v>
      </c>
      <c r="Z52" s="97">
        <f t="shared" si="9"/>
        <v>0</v>
      </c>
      <c r="AA52" s="97">
        <f t="shared" si="9"/>
        <v>0</v>
      </c>
      <c r="AB52" s="120"/>
      <c r="AC52" s="120"/>
      <c r="AD52" s="6">
        <v>0</v>
      </c>
      <c r="AE52" s="97">
        <f t="shared" si="8"/>
        <v>0</v>
      </c>
    </row>
    <row r="53" spans="1:31">
      <c r="A53" s="686"/>
      <c r="B53" s="590" t="str">
        <f>'sources-uses'!B53</f>
        <v>Marketing</v>
      </c>
      <c r="C53" s="143">
        <f>'sources-uses'!C53</f>
        <v>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row>
    <row r="54" spans="1:31">
      <c r="A54" s="686"/>
      <c r="B54" s="590" t="str">
        <f>'sources-uses'!B54</f>
        <v>Tax Credit Fees</v>
      </c>
      <c r="C54" s="143">
        <f>'sources-uses'!C54</f>
        <v>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row>
    <row r="55" spans="1:31">
      <c r="A55" s="686"/>
      <c r="B55" s="590" t="str">
        <f>'sources-uses'!B55</f>
        <v>Soft Cost Contingency</v>
      </c>
      <c r="C55" s="143">
        <f>'sources-uses'!C55</f>
        <v>0</v>
      </c>
      <c r="D55" s="120"/>
      <c r="E55" s="143">
        <f t="shared" ref="E55:E63" si="10">SUM(G55:Y55)</f>
        <v>0</v>
      </c>
      <c r="F55" s="120"/>
      <c r="G55" s="143">
        <f>'project budget'!$D55</f>
        <v>0</v>
      </c>
      <c r="H55" s="120"/>
      <c r="I55" s="143">
        <f>'project budget'!$E55</f>
        <v>0</v>
      </c>
      <c r="J55" s="120"/>
      <c r="K55" s="143">
        <f>'project budget'!$F55</f>
        <v>0</v>
      </c>
      <c r="L55" s="120"/>
      <c r="M55" s="143">
        <f>'project budget'!$G55</f>
        <v>0</v>
      </c>
      <c r="N55" s="120"/>
      <c r="O55" s="143">
        <f>'project budget'!$H55</f>
        <v>0</v>
      </c>
      <c r="P55" s="120"/>
      <c r="Q55" s="143">
        <f>'project budget'!$I55</f>
        <v>0</v>
      </c>
      <c r="R55" s="120"/>
      <c r="S55" s="143">
        <f>'project budget'!$J55</f>
        <v>0</v>
      </c>
      <c r="T55" s="120"/>
      <c r="U55" s="143">
        <f>'project budget'!$K55</f>
        <v>0</v>
      </c>
      <c r="V55" s="120"/>
      <c r="W55" s="143">
        <f>'project budget'!$L55</f>
        <v>0</v>
      </c>
      <c r="X55" s="120"/>
      <c r="Y55" s="143">
        <f>'project budget'!$M55</f>
        <v>0</v>
      </c>
      <c r="Z55" s="97">
        <f>$C55</f>
        <v>0</v>
      </c>
      <c r="AA55" s="97">
        <f t="shared" ref="Z55:AA65" si="11">$C55</f>
        <v>0</v>
      </c>
      <c r="AB55" s="120"/>
      <c r="AC55" s="120"/>
      <c r="AD55" s="6">
        <v>0</v>
      </c>
      <c r="AE55" s="97">
        <f t="shared" si="8"/>
        <v>0</v>
      </c>
    </row>
    <row r="56" spans="1:31">
      <c r="A56" s="686"/>
      <c r="B56" s="590" t="str">
        <f>'sources-uses'!B56</f>
        <v>Permanent Loan Origination Fee</v>
      </c>
      <c r="C56" s="143">
        <f>'sources-uses'!C56</f>
        <v>0</v>
      </c>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row>
    <row r="57" spans="1:31">
      <c r="A57" s="686"/>
      <c r="B57" s="590" t="str">
        <f>'sources-uses'!B57</f>
        <v>Lender's Counsel's Fee</v>
      </c>
      <c r="C57" s="143">
        <f>'sources-uses'!C57</f>
        <v>0</v>
      </c>
      <c r="D57" s="120"/>
      <c r="E57" s="143">
        <f t="shared" si="10"/>
        <v>0</v>
      </c>
      <c r="F57" s="120"/>
      <c r="G57" s="143">
        <f>'project budget'!$D57</f>
        <v>0</v>
      </c>
      <c r="H57" s="120"/>
      <c r="I57" s="143">
        <f>'project budget'!$E57</f>
        <v>0</v>
      </c>
      <c r="J57" s="120"/>
      <c r="K57" s="143">
        <f>'project budget'!$F57</f>
        <v>0</v>
      </c>
      <c r="L57" s="120"/>
      <c r="M57" s="143">
        <f>'project budget'!$G57</f>
        <v>0</v>
      </c>
      <c r="N57" s="120"/>
      <c r="O57" s="143">
        <f>'project budget'!$H57</f>
        <v>0</v>
      </c>
      <c r="P57" s="120"/>
      <c r="Q57" s="143">
        <f>'project budget'!$I57</f>
        <v>0</v>
      </c>
      <c r="R57" s="120"/>
      <c r="S57" s="143">
        <f>'project budget'!$J57</f>
        <v>0</v>
      </c>
      <c r="T57" s="120"/>
      <c r="U57" s="143">
        <f>'project budget'!$K57</f>
        <v>0</v>
      </c>
      <c r="V57" s="120"/>
      <c r="W57" s="143">
        <f>'project budget'!$L57</f>
        <v>0</v>
      </c>
      <c r="X57" s="120"/>
      <c r="Y57" s="143">
        <f>'project budget'!$M57</f>
        <v>0</v>
      </c>
      <c r="Z57" s="97">
        <f t="shared" si="11"/>
        <v>0</v>
      </c>
      <c r="AA57" s="97">
        <f t="shared" si="11"/>
        <v>0</v>
      </c>
      <c r="AB57" s="120"/>
      <c r="AC57" s="120"/>
      <c r="AD57" s="6">
        <v>0</v>
      </c>
      <c r="AE57" s="97">
        <f t="shared" si="8"/>
        <v>0</v>
      </c>
    </row>
    <row r="58" spans="1:31" ht="14.4" outlineLevel="1">
      <c r="A58" s="686"/>
      <c r="B58" s="665" t="str">
        <f>'sources-uses'!B58</f>
        <v>[Additional Field - Specify]</v>
      </c>
      <c r="C58" s="143">
        <f>'sources-uses'!C58</f>
        <v>0</v>
      </c>
      <c r="D58" s="120"/>
      <c r="E58" s="143">
        <f t="shared" si="10"/>
        <v>0</v>
      </c>
      <c r="F58" s="120"/>
      <c r="G58" s="143">
        <f>'project budget'!$D58</f>
        <v>0</v>
      </c>
      <c r="H58" s="120"/>
      <c r="I58" s="143">
        <f>'project budget'!$E58</f>
        <v>0</v>
      </c>
      <c r="J58" s="120"/>
      <c r="K58" s="143">
        <f>'project budget'!$F58</f>
        <v>0</v>
      </c>
      <c r="L58" s="120"/>
      <c r="M58" s="143">
        <f>'project budget'!$G58</f>
        <v>0</v>
      </c>
      <c r="N58" s="120"/>
      <c r="O58" s="143">
        <f>'project budget'!$H58</f>
        <v>0</v>
      </c>
      <c r="P58" s="120"/>
      <c r="Q58" s="143">
        <f>'project budget'!$I58</f>
        <v>0</v>
      </c>
      <c r="R58" s="120"/>
      <c r="S58" s="143">
        <f>'project budget'!$J58</f>
        <v>0</v>
      </c>
      <c r="T58" s="120"/>
      <c r="U58" s="143">
        <f>'project budget'!$K58</f>
        <v>0</v>
      </c>
      <c r="V58" s="120"/>
      <c r="W58" s="143">
        <f>'project budget'!$L58</f>
        <v>0</v>
      </c>
      <c r="X58" s="120"/>
      <c r="Y58" s="143">
        <f>'project budget'!$M58</f>
        <v>0</v>
      </c>
      <c r="Z58" s="97">
        <f t="shared" si="11"/>
        <v>0</v>
      </c>
      <c r="AA58" s="97">
        <f t="shared" si="11"/>
        <v>0</v>
      </c>
      <c r="AB58" s="120"/>
      <c r="AC58" s="120"/>
      <c r="AD58" s="6">
        <v>0</v>
      </c>
      <c r="AE58" s="97">
        <f t="shared" si="8"/>
        <v>0</v>
      </c>
    </row>
    <row r="59" spans="1:31" ht="14.4" outlineLevel="1">
      <c r="A59" s="686"/>
      <c r="B59" s="665" t="str">
        <f>'sources-uses'!B59</f>
        <v>[Additional Field - Specify]</v>
      </c>
      <c r="C59" s="143">
        <f>'sources-uses'!C59</f>
        <v>0</v>
      </c>
      <c r="D59" s="120"/>
      <c r="E59" s="143">
        <f t="shared" si="10"/>
        <v>0</v>
      </c>
      <c r="F59" s="120"/>
      <c r="G59" s="143">
        <f>'project budget'!$D59</f>
        <v>0</v>
      </c>
      <c r="H59" s="120"/>
      <c r="I59" s="143">
        <f>'project budget'!$E59</f>
        <v>0</v>
      </c>
      <c r="J59" s="120"/>
      <c r="K59" s="143">
        <f>'project budget'!$F59</f>
        <v>0</v>
      </c>
      <c r="L59" s="120"/>
      <c r="M59" s="143">
        <f>'project budget'!$G59</f>
        <v>0</v>
      </c>
      <c r="N59" s="120"/>
      <c r="O59" s="143">
        <f>'project budget'!$H59</f>
        <v>0</v>
      </c>
      <c r="P59" s="120"/>
      <c r="Q59" s="143">
        <f>'project budget'!$I59</f>
        <v>0</v>
      </c>
      <c r="R59" s="120"/>
      <c r="S59" s="143">
        <f>'project budget'!$J59</f>
        <v>0</v>
      </c>
      <c r="T59" s="120"/>
      <c r="U59" s="143">
        <f>'project budget'!$K59</f>
        <v>0</v>
      </c>
      <c r="V59" s="120"/>
      <c r="W59" s="143">
        <f>'project budget'!$L59</f>
        <v>0</v>
      </c>
      <c r="X59" s="120"/>
      <c r="Y59" s="143">
        <f>'project budget'!$M59</f>
        <v>0</v>
      </c>
      <c r="Z59" s="97">
        <f t="shared" si="11"/>
        <v>0</v>
      </c>
      <c r="AA59" s="97">
        <f t="shared" si="11"/>
        <v>0</v>
      </c>
      <c r="AB59" s="120"/>
      <c r="AC59" s="120"/>
      <c r="AD59" s="6">
        <v>0</v>
      </c>
      <c r="AE59" s="97">
        <f t="shared" si="8"/>
        <v>0</v>
      </c>
    </row>
    <row r="60" spans="1:31" ht="14.4" outlineLevel="1">
      <c r="A60" s="686"/>
      <c r="B60" s="665" t="str">
        <f>'sources-uses'!B60</f>
        <v>[Additional Field - Specify]</v>
      </c>
      <c r="C60" s="143">
        <f>'sources-uses'!C60</f>
        <v>0</v>
      </c>
      <c r="D60" s="120"/>
      <c r="E60" s="143">
        <f t="shared" si="10"/>
        <v>0</v>
      </c>
      <c r="F60" s="120"/>
      <c r="G60" s="143">
        <f>'project budget'!$D60</f>
        <v>0</v>
      </c>
      <c r="H60" s="120"/>
      <c r="I60" s="143">
        <f>'project budget'!$E60</f>
        <v>0</v>
      </c>
      <c r="J60" s="120"/>
      <c r="K60" s="143">
        <f>'project budget'!$F60</f>
        <v>0</v>
      </c>
      <c r="L60" s="120"/>
      <c r="M60" s="143">
        <f>'project budget'!$G60</f>
        <v>0</v>
      </c>
      <c r="N60" s="120"/>
      <c r="O60" s="143">
        <f>'project budget'!$H60</f>
        <v>0</v>
      </c>
      <c r="P60" s="120"/>
      <c r="Q60" s="143">
        <f>'project budget'!$I60</f>
        <v>0</v>
      </c>
      <c r="R60" s="120"/>
      <c r="S60" s="143">
        <f>'project budget'!$J60</f>
        <v>0</v>
      </c>
      <c r="T60" s="120"/>
      <c r="U60" s="143">
        <f>'project budget'!$K60</f>
        <v>0</v>
      </c>
      <c r="V60" s="120"/>
      <c r="W60" s="143">
        <f>'project budget'!$L60</f>
        <v>0</v>
      </c>
      <c r="X60" s="120"/>
      <c r="Y60" s="143">
        <f>'project budget'!$M60</f>
        <v>0</v>
      </c>
      <c r="Z60" s="97">
        <f t="shared" si="11"/>
        <v>0</v>
      </c>
      <c r="AA60" s="97">
        <f t="shared" si="11"/>
        <v>0</v>
      </c>
      <c r="AB60" s="120"/>
      <c r="AC60" s="120"/>
      <c r="AD60" s="6">
        <v>0</v>
      </c>
      <c r="AE60" s="97">
        <f t="shared" si="8"/>
        <v>0</v>
      </c>
    </row>
    <row r="61" spans="1:31" ht="14.4" outlineLevel="2">
      <c r="A61" s="686"/>
      <c r="B61" s="665" t="str">
        <f>'sources-uses'!B61</f>
        <v>[Additional Field - Specify]</v>
      </c>
      <c r="C61" s="143">
        <f>'sources-uses'!C61</f>
        <v>0</v>
      </c>
      <c r="D61" s="120"/>
      <c r="E61" s="143">
        <f t="shared" si="10"/>
        <v>0</v>
      </c>
      <c r="F61" s="120"/>
      <c r="G61" s="143">
        <f>'project budget'!$D61</f>
        <v>0</v>
      </c>
      <c r="H61" s="120"/>
      <c r="I61" s="143">
        <f>'project budget'!$E61</f>
        <v>0</v>
      </c>
      <c r="J61" s="120"/>
      <c r="K61" s="143">
        <f>'project budget'!$F61</f>
        <v>0</v>
      </c>
      <c r="L61" s="120"/>
      <c r="M61" s="143">
        <f>'project budget'!$G61</f>
        <v>0</v>
      </c>
      <c r="N61" s="120"/>
      <c r="O61" s="143">
        <f>'project budget'!$H61</f>
        <v>0</v>
      </c>
      <c r="P61" s="120"/>
      <c r="Q61" s="143">
        <f>'project budget'!$I61</f>
        <v>0</v>
      </c>
      <c r="R61" s="120"/>
      <c r="S61" s="143">
        <f>'project budget'!$J61</f>
        <v>0</v>
      </c>
      <c r="T61" s="120"/>
      <c r="U61" s="143">
        <f>'project budget'!$K61</f>
        <v>0</v>
      </c>
      <c r="V61" s="120"/>
      <c r="W61" s="143">
        <f>'project budget'!$L61</f>
        <v>0</v>
      </c>
      <c r="X61" s="120"/>
      <c r="Y61" s="143">
        <f>'project budget'!$M61</f>
        <v>0</v>
      </c>
      <c r="Z61" s="97">
        <f t="shared" si="11"/>
        <v>0</v>
      </c>
      <c r="AA61" s="97">
        <f t="shared" si="11"/>
        <v>0</v>
      </c>
      <c r="AB61" s="120"/>
      <c r="AC61" s="120"/>
      <c r="AD61" s="6">
        <v>0</v>
      </c>
      <c r="AE61" s="97">
        <f t="shared" si="8"/>
        <v>0</v>
      </c>
    </row>
    <row r="62" spans="1:31" ht="14.4" outlineLevel="2">
      <c r="A62" s="686"/>
      <c r="B62" s="665" t="str">
        <f>'sources-uses'!B62</f>
        <v>[Additional Field - Specify]</v>
      </c>
      <c r="C62" s="143">
        <f>'sources-uses'!C62</f>
        <v>0</v>
      </c>
      <c r="D62" s="120"/>
      <c r="E62" s="143">
        <f t="shared" si="10"/>
        <v>0</v>
      </c>
      <c r="F62" s="120"/>
      <c r="G62" s="143">
        <f>'project budget'!$D62</f>
        <v>0</v>
      </c>
      <c r="H62" s="120"/>
      <c r="I62" s="143">
        <f>'project budget'!$E62</f>
        <v>0</v>
      </c>
      <c r="J62" s="120"/>
      <c r="K62" s="143">
        <f>'project budget'!$F62</f>
        <v>0</v>
      </c>
      <c r="L62" s="120"/>
      <c r="M62" s="143">
        <f>'project budget'!$G62</f>
        <v>0</v>
      </c>
      <c r="N62" s="120"/>
      <c r="O62" s="143">
        <f>'project budget'!$H62</f>
        <v>0</v>
      </c>
      <c r="P62" s="120"/>
      <c r="Q62" s="143">
        <f>'project budget'!$I62</f>
        <v>0</v>
      </c>
      <c r="R62" s="120"/>
      <c r="S62" s="143">
        <f>'project budget'!$J62</f>
        <v>0</v>
      </c>
      <c r="T62" s="120"/>
      <c r="U62" s="143">
        <f>'project budget'!$K62</f>
        <v>0</v>
      </c>
      <c r="V62" s="120"/>
      <c r="W62" s="143">
        <f>'project budget'!$L62</f>
        <v>0</v>
      </c>
      <c r="X62" s="120"/>
      <c r="Y62" s="143">
        <f>'project budget'!$M62</f>
        <v>0</v>
      </c>
      <c r="Z62" s="97">
        <f t="shared" si="11"/>
        <v>0</v>
      </c>
      <c r="AA62" s="97">
        <f t="shared" si="11"/>
        <v>0</v>
      </c>
      <c r="AB62" s="120"/>
      <c r="AC62" s="120"/>
      <c r="AD62" s="6">
        <v>0</v>
      </c>
      <c r="AE62" s="97">
        <f t="shared" si="8"/>
        <v>0</v>
      </c>
    </row>
    <row r="63" spans="1:31" ht="14.4" outlineLevel="2">
      <c r="A63" s="686"/>
      <c r="B63" s="665" t="str">
        <f>'sources-uses'!B63</f>
        <v>[Additional Field - Specify]</v>
      </c>
      <c r="C63" s="143">
        <f>'sources-uses'!C63</f>
        <v>0</v>
      </c>
      <c r="D63" s="120"/>
      <c r="E63" s="143">
        <f t="shared" si="10"/>
        <v>0</v>
      </c>
      <c r="F63" s="120"/>
      <c r="G63" s="143">
        <f>'project budget'!$D63</f>
        <v>0</v>
      </c>
      <c r="H63" s="120"/>
      <c r="I63" s="143">
        <f>'project budget'!$E63</f>
        <v>0</v>
      </c>
      <c r="J63" s="120"/>
      <c r="K63" s="143">
        <f>'project budget'!$F63</f>
        <v>0</v>
      </c>
      <c r="L63" s="120"/>
      <c r="M63" s="143">
        <f>'project budget'!$G63</f>
        <v>0</v>
      </c>
      <c r="N63" s="120"/>
      <c r="O63" s="143">
        <f>'project budget'!$H63</f>
        <v>0</v>
      </c>
      <c r="P63" s="120"/>
      <c r="Q63" s="143">
        <f>'project budget'!$I63</f>
        <v>0</v>
      </c>
      <c r="R63" s="120"/>
      <c r="S63" s="143">
        <f>'project budget'!$J63</f>
        <v>0</v>
      </c>
      <c r="T63" s="120"/>
      <c r="U63" s="143">
        <f>'project budget'!$K63</f>
        <v>0</v>
      </c>
      <c r="V63" s="120"/>
      <c r="W63" s="143">
        <f>'project budget'!$L63</f>
        <v>0</v>
      </c>
      <c r="X63" s="120"/>
      <c r="Y63" s="143">
        <f>'project budget'!$M63</f>
        <v>0</v>
      </c>
      <c r="Z63" s="97">
        <f t="shared" si="11"/>
        <v>0</v>
      </c>
      <c r="AA63" s="97">
        <f t="shared" si="11"/>
        <v>0</v>
      </c>
      <c r="AB63" s="120"/>
      <c r="AC63" s="120"/>
      <c r="AD63" s="6">
        <v>0</v>
      </c>
      <c r="AE63" s="97">
        <f t="shared" si="8"/>
        <v>0</v>
      </c>
    </row>
    <row r="64" spans="1:31" ht="14.4" outlineLevel="2">
      <c r="A64" s="686"/>
      <c r="B64" s="665" t="str">
        <f>'sources-uses'!B64</f>
        <v>[Additional Field - Specify]</v>
      </c>
      <c r="C64" s="143">
        <f>'sources-uses'!C64</f>
        <v>0</v>
      </c>
      <c r="D64" s="120"/>
      <c r="E64" s="143">
        <f>SUM(G64:Y64)</f>
        <v>0</v>
      </c>
      <c r="F64" s="120"/>
      <c r="G64" s="143">
        <f>'project budget'!$D64</f>
        <v>0</v>
      </c>
      <c r="H64" s="120"/>
      <c r="I64" s="143">
        <f>'project budget'!$E64</f>
        <v>0</v>
      </c>
      <c r="J64" s="120"/>
      <c r="K64" s="143">
        <f>'project budget'!$F64</f>
        <v>0</v>
      </c>
      <c r="L64" s="120"/>
      <c r="M64" s="143">
        <f>'project budget'!$G64</f>
        <v>0</v>
      </c>
      <c r="N64" s="120"/>
      <c r="O64" s="143">
        <f>'project budget'!$H64</f>
        <v>0</v>
      </c>
      <c r="P64" s="120"/>
      <c r="Q64" s="143">
        <f>'project budget'!$I64</f>
        <v>0</v>
      </c>
      <c r="R64" s="120"/>
      <c r="S64" s="143">
        <f>'project budget'!$J64</f>
        <v>0</v>
      </c>
      <c r="T64" s="120"/>
      <c r="U64" s="143">
        <f>'project budget'!$K64</f>
        <v>0</v>
      </c>
      <c r="V64" s="120"/>
      <c r="W64" s="143">
        <f>'project budget'!$L64</f>
        <v>0</v>
      </c>
      <c r="X64" s="120"/>
      <c r="Y64" s="143">
        <f>'project budget'!$M64</f>
        <v>0</v>
      </c>
      <c r="Z64" s="97">
        <f t="shared" si="11"/>
        <v>0</v>
      </c>
      <c r="AA64" s="97">
        <f t="shared" si="11"/>
        <v>0</v>
      </c>
      <c r="AB64" s="120"/>
      <c r="AC64" s="120"/>
      <c r="AD64" s="6">
        <v>0</v>
      </c>
      <c r="AE64" s="97">
        <f t="shared" si="8"/>
        <v>0</v>
      </c>
    </row>
    <row r="65" spans="1:31" ht="14.4" outlineLevel="2">
      <c r="A65" s="686"/>
      <c r="B65" s="665" t="str">
        <f>'sources-uses'!B65</f>
        <v>[Additional Field - Specify]</v>
      </c>
      <c r="C65" s="143">
        <f>'sources-uses'!C65</f>
        <v>0</v>
      </c>
      <c r="D65" s="120"/>
      <c r="E65" s="143">
        <f>SUM(G65:Y65)</f>
        <v>0</v>
      </c>
      <c r="F65" s="120"/>
      <c r="G65" s="143">
        <f>'project budget'!$D65</f>
        <v>0</v>
      </c>
      <c r="H65" s="120"/>
      <c r="I65" s="143">
        <f>'project budget'!$E65</f>
        <v>0</v>
      </c>
      <c r="J65" s="120"/>
      <c r="K65" s="143">
        <f>'project budget'!$F65</f>
        <v>0</v>
      </c>
      <c r="L65" s="120"/>
      <c r="M65" s="143">
        <f>'project budget'!$G65</f>
        <v>0</v>
      </c>
      <c r="N65" s="120"/>
      <c r="O65" s="143">
        <f>'project budget'!$H65</f>
        <v>0</v>
      </c>
      <c r="P65" s="120"/>
      <c r="Q65" s="143">
        <f>'project budget'!$I65</f>
        <v>0</v>
      </c>
      <c r="R65" s="120"/>
      <c r="S65" s="143">
        <f>'project budget'!$J65</f>
        <v>0</v>
      </c>
      <c r="T65" s="120"/>
      <c r="U65" s="143">
        <f>'project budget'!$K65</f>
        <v>0</v>
      </c>
      <c r="V65" s="120"/>
      <c r="W65" s="143">
        <f>'project budget'!$L65</f>
        <v>0</v>
      </c>
      <c r="X65" s="120"/>
      <c r="Y65" s="143">
        <f>'project budget'!$M65</f>
        <v>0</v>
      </c>
      <c r="Z65" s="97">
        <f t="shared" si="11"/>
        <v>0</v>
      </c>
      <c r="AA65" s="97">
        <f t="shared" si="11"/>
        <v>0</v>
      </c>
      <c r="AB65" s="120"/>
      <c r="AC65" s="120"/>
      <c r="AD65" s="6">
        <v>0</v>
      </c>
      <c r="AE65" s="97">
        <f t="shared" si="8"/>
        <v>0</v>
      </c>
    </row>
    <row r="66" spans="1:31">
      <c r="A66" s="686"/>
      <c r="B66" s="669" t="s">
        <v>433</v>
      </c>
      <c r="C66" s="97">
        <f>'sources-uses'!C66</f>
        <v>0</v>
      </c>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row>
    <row r="67" spans="1:31">
      <c r="A67" s="686"/>
      <c r="B67" s="669" t="str">
        <f>'sources-uses'!B67</f>
        <v>SYNDICATION COSTS</v>
      </c>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row>
    <row r="68" spans="1:31">
      <c r="A68" s="686"/>
      <c r="B68" s="590" t="str">
        <f>'sources-uses'!B68</f>
        <v>Organizational (Partnership)</v>
      </c>
      <c r="C68" s="97">
        <f>'sources-uses'!C68</f>
        <v>0</v>
      </c>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row>
    <row r="69" spans="1:31">
      <c r="A69" s="686"/>
      <c r="B69" s="590" t="str">
        <f>'sources-uses'!B69</f>
        <v>Bridge Loan Fees and Expenses</v>
      </c>
      <c r="C69" s="97">
        <f>'sources-uses'!C69</f>
        <v>0</v>
      </c>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row>
    <row r="70" spans="1:31">
      <c r="A70" s="686"/>
      <c r="B70" s="590" t="str">
        <f>'sources-uses'!B70</f>
        <v>Syndication Consultant</v>
      </c>
      <c r="C70" s="97">
        <f>'sources-uses'!C70</f>
        <v>0</v>
      </c>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row>
    <row r="71" spans="1:31">
      <c r="A71" s="686"/>
      <c r="B71" s="590" t="str">
        <f>'sources-uses'!B71</f>
        <v>Tax Opinion</v>
      </c>
      <c r="C71" s="97">
        <f>'sources-uses'!C71</f>
        <v>0</v>
      </c>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row>
    <row r="72" spans="1:31" ht="14.4" outlineLevel="1">
      <c r="A72" s="686"/>
      <c r="B72" s="665" t="str">
        <f>'sources-uses'!B72</f>
        <v>[Additional Field - Specify]</v>
      </c>
      <c r="C72" s="97">
        <f>'sources-uses'!C72</f>
        <v>0</v>
      </c>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row>
    <row r="73" spans="1:31" ht="14.4" outlineLevel="1">
      <c r="A73" s="686"/>
      <c r="B73" s="665" t="str">
        <f>'sources-uses'!B73</f>
        <v>[Additional Field - Specify]</v>
      </c>
      <c r="C73" s="97">
        <f>'sources-uses'!C73</f>
        <v>0</v>
      </c>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row>
    <row r="74" spans="1:31" ht="14.4" outlineLevel="1">
      <c r="A74" s="686"/>
      <c r="B74" s="665" t="str">
        <f>'sources-uses'!B74</f>
        <v>[Additional Field - Specify]</v>
      </c>
      <c r="C74" s="97">
        <f>'sources-uses'!C74</f>
        <v>0</v>
      </c>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row>
    <row r="75" spans="1:31" ht="14.4">
      <c r="A75" s="686"/>
      <c r="B75" s="654" t="s">
        <v>439</v>
      </c>
      <c r="C75" s="123">
        <f>'sources-uses'!C75</f>
        <v>0</v>
      </c>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row>
    <row r="76" spans="1:31">
      <c r="A76" s="686"/>
      <c r="B76" s="669" t="str">
        <f>'sources-uses'!B76</f>
        <v>DEVELOPER'S FEES</v>
      </c>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row>
    <row r="77" spans="1:31">
      <c r="A77" s="686"/>
      <c r="B77" s="590" t="str">
        <f>'sources-uses'!B77</f>
        <v>Developer's Fees</v>
      </c>
      <c r="C77" s="97">
        <f>'sources-uses'!C77</f>
        <v>0</v>
      </c>
      <c r="D77" s="120"/>
      <c r="E77" s="143">
        <f>SUM(G77:Y77)</f>
        <v>0</v>
      </c>
      <c r="F77" s="120"/>
      <c r="G77" s="97">
        <f>'project budget'!$D77</f>
        <v>0</v>
      </c>
      <c r="H77" s="120"/>
      <c r="I77" s="97">
        <f>'project budget'!$E77</f>
        <v>0</v>
      </c>
      <c r="J77" s="120"/>
      <c r="K77" s="97">
        <f>'project budget'!$F77</f>
        <v>0</v>
      </c>
      <c r="L77" s="120"/>
      <c r="M77" s="97">
        <f>'project budget'!$G77</f>
        <v>0</v>
      </c>
      <c r="N77" s="120"/>
      <c r="O77" s="97">
        <f>'project budget'!$H77</f>
        <v>0</v>
      </c>
      <c r="P77" s="120"/>
      <c r="Q77" s="97">
        <f>'project budget'!$I77</f>
        <v>0</v>
      </c>
      <c r="R77" s="120"/>
      <c r="S77" s="97">
        <f>'project budget'!$J77</f>
        <v>0</v>
      </c>
      <c r="T77" s="120"/>
      <c r="U77" s="97">
        <f>'project budget'!$K77</f>
        <v>0</v>
      </c>
      <c r="V77" s="120"/>
      <c r="W77" s="97">
        <f>'project budget'!$L77</f>
        <v>0</v>
      </c>
      <c r="X77" s="120"/>
      <c r="Y77" s="97">
        <f>'project budget'!$M77</f>
        <v>0</v>
      </c>
      <c r="Z77" s="97">
        <f t="shared" ref="Z77:AA82" si="12">$C77</f>
        <v>0</v>
      </c>
      <c r="AA77" s="97">
        <f t="shared" si="12"/>
        <v>0</v>
      </c>
      <c r="AB77" s="120"/>
      <c r="AC77" s="120"/>
      <c r="AD77" s="6">
        <v>0</v>
      </c>
      <c r="AE77" s="97">
        <f t="shared" ref="AE77:AE82" si="13">C77</f>
        <v>0</v>
      </c>
    </row>
    <row r="78" spans="1:31">
      <c r="A78" s="686"/>
      <c r="B78" s="590" t="str">
        <f>'sources-uses'!B78</f>
        <v>Other Partnership Fees</v>
      </c>
      <c r="C78" s="97">
        <f>'sources-uses'!C78</f>
        <v>0</v>
      </c>
      <c r="D78" s="120"/>
      <c r="E78" s="143">
        <f t="shared" ref="E78:E82" si="14">SUM(G78:Y78)</f>
        <v>0</v>
      </c>
      <c r="F78" s="120"/>
      <c r="G78" s="97">
        <f>'project budget'!$D78</f>
        <v>0</v>
      </c>
      <c r="H78" s="120"/>
      <c r="I78" s="97">
        <f>'project budget'!$E78</f>
        <v>0</v>
      </c>
      <c r="J78" s="120"/>
      <c r="K78" s="97">
        <f>'project budget'!$F78</f>
        <v>0</v>
      </c>
      <c r="L78" s="120"/>
      <c r="M78" s="97">
        <f>'project budget'!$G78</f>
        <v>0</v>
      </c>
      <c r="N78" s="120"/>
      <c r="O78" s="97">
        <f>'project budget'!$H78</f>
        <v>0</v>
      </c>
      <c r="P78" s="120"/>
      <c r="Q78" s="97">
        <f>'project budget'!$I78</f>
        <v>0</v>
      </c>
      <c r="R78" s="120"/>
      <c r="S78" s="97">
        <f>'project budget'!$J78</f>
        <v>0</v>
      </c>
      <c r="T78" s="120"/>
      <c r="U78" s="97">
        <f>'project budget'!$K78</f>
        <v>0</v>
      </c>
      <c r="V78" s="120"/>
      <c r="W78" s="97">
        <f>'project budget'!$L78</f>
        <v>0</v>
      </c>
      <c r="X78" s="120"/>
      <c r="Y78" s="97">
        <f>'project budget'!$M78</f>
        <v>0</v>
      </c>
      <c r="Z78" s="97">
        <f t="shared" si="12"/>
        <v>0</v>
      </c>
      <c r="AA78" s="97">
        <f t="shared" si="12"/>
        <v>0</v>
      </c>
      <c r="AB78" s="120"/>
      <c r="AC78" s="120"/>
      <c r="AD78" s="6">
        <v>0</v>
      </c>
      <c r="AE78" s="97">
        <f t="shared" si="13"/>
        <v>0</v>
      </c>
    </row>
    <row r="79" spans="1:31">
      <c r="A79" s="686"/>
      <c r="B79" s="590" t="str">
        <f>'sources-uses'!B79</f>
        <v>Consultant Fees</v>
      </c>
      <c r="C79" s="97">
        <f>'sources-uses'!C79</f>
        <v>0</v>
      </c>
      <c r="D79" s="120"/>
      <c r="E79" s="143">
        <f t="shared" si="14"/>
        <v>0</v>
      </c>
      <c r="F79" s="120"/>
      <c r="G79" s="97">
        <f>'project budget'!$D79</f>
        <v>0</v>
      </c>
      <c r="H79" s="120"/>
      <c r="I79" s="97">
        <f>'project budget'!$E79</f>
        <v>0</v>
      </c>
      <c r="J79" s="120"/>
      <c r="K79" s="97">
        <f>'project budget'!$F79</f>
        <v>0</v>
      </c>
      <c r="L79" s="120"/>
      <c r="M79" s="97">
        <f>'project budget'!$G79</f>
        <v>0</v>
      </c>
      <c r="N79" s="120"/>
      <c r="O79" s="97">
        <f>'project budget'!$H79</f>
        <v>0</v>
      </c>
      <c r="P79" s="120"/>
      <c r="Q79" s="97">
        <f>'project budget'!$I79</f>
        <v>0</v>
      </c>
      <c r="R79" s="120"/>
      <c r="S79" s="97">
        <f>'project budget'!$J79</f>
        <v>0</v>
      </c>
      <c r="T79" s="120"/>
      <c r="U79" s="97">
        <f>'project budget'!$K79</f>
        <v>0</v>
      </c>
      <c r="V79" s="120"/>
      <c r="W79" s="97">
        <f>'project budget'!$L79</f>
        <v>0</v>
      </c>
      <c r="X79" s="120"/>
      <c r="Y79" s="97">
        <f>'project budget'!$M79</f>
        <v>0</v>
      </c>
      <c r="Z79" s="97">
        <f t="shared" si="12"/>
        <v>0</v>
      </c>
      <c r="AA79" s="97">
        <f t="shared" si="12"/>
        <v>0</v>
      </c>
      <c r="AB79" s="120"/>
      <c r="AC79" s="120"/>
      <c r="AD79" s="6">
        <v>0</v>
      </c>
      <c r="AE79" s="97">
        <f t="shared" si="13"/>
        <v>0</v>
      </c>
    </row>
    <row r="80" spans="1:31" ht="14.4" outlineLevel="1">
      <c r="A80" s="686"/>
      <c r="B80" s="665" t="str">
        <f>'sources-uses'!B80</f>
        <v>[Additional Field - Specify]</v>
      </c>
      <c r="C80" s="97">
        <f>'sources-uses'!C80</f>
        <v>0</v>
      </c>
      <c r="D80" s="120"/>
      <c r="E80" s="143">
        <f t="shared" si="14"/>
        <v>0</v>
      </c>
      <c r="F80" s="120"/>
      <c r="G80" s="97">
        <f>'project budget'!$D80</f>
        <v>0</v>
      </c>
      <c r="H80" s="120"/>
      <c r="I80" s="97">
        <f>'project budget'!$E80</f>
        <v>0</v>
      </c>
      <c r="J80" s="120"/>
      <c r="K80" s="97">
        <f>'project budget'!$F80</f>
        <v>0</v>
      </c>
      <c r="L80" s="120"/>
      <c r="M80" s="97">
        <f>'project budget'!$G80</f>
        <v>0</v>
      </c>
      <c r="N80" s="120"/>
      <c r="O80" s="97">
        <f>'project budget'!$H80</f>
        <v>0</v>
      </c>
      <c r="P80" s="120"/>
      <c r="Q80" s="97">
        <f>'project budget'!$I80</f>
        <v>0</v>
      </c>
      <c r="R80" s="120"/>
      <c r="S80" s="97">
        <f>'project budget'!$J80</f>
        <v>0</v>
      </c>
      <c r="T80" s="120"/>
      <c r="U80" s="97">
        <f>'project budget'!$K80</f>
        <v>0</v>
      </c>
      <c r="V80" s="120"/>
      <c r="W80" s="97">
        <f>'project budget'!$L80</f>
        <v>0</v>
      </c>
      <c r="X80" s="120"/>
      <c r="Y80" s="97">
        <f>'project budget'!$M80</f>
        <v>0</v>
      </c>
      <c r="Z80" s="97">
        <f t="shared" si="12"/>
        <v>0</v>
      </c>
      <c r="AA80" s="97">
        <f t="shared" si="12"/>
        <v>0</v>
      </c>
      <c r="AB80" s="120"/>
      <c r="AC80" s="120"/>
      <c r="AD80" s="6">
        <v>0</v>
      </c>
      <c r="AE80" s="97">
        <f t="shared" si="13"/>
        <v>0</v>
      </c>
    </row>
    <row r="81" spans="1:33" ht="14.4" outlineLevel="1">
      <c r="A81" s="686"/>
      <c r="B81" s="665" t="str">
        <f>'sources-uses'!B81</f>
        <v>[Additional Field - Specify]</v>
      </c>
      <c r="C81" s="97">
        <f>'sources-uses'!C81</f>
        <v>0</v>
      </c>
      <c r="D81" s="120"/>
      <c r="E81" s="143">
        <f>SUM(G81:Y81)</f>
        <v>0</v>
      </c>
      <c r="F81" s="120"/>
      <c r="G81" s="97">
        <f>'project budget'!$D81</f>
        <v>0</v>
      </c>
      <c r="H81" s="120"/>
      <c r="I81" s="97">
        <f>'project budget'!$E81</f>
        <v>0</v>
      </c>
      <c r="J81" s="120"/>
      <c r="K81" s="97">
        <f>'project budget'!$F81</f>
        <v>0</v>
      </c>
      <c r="L81" s="120"/>
      <c r="M81" s="97">
        <f>'project budget'!$G81</f>
        <v>0</v>
      </c>
      <c r="N81" s="120"/>
      <c r="O81" s="97">
        <f>'project budget'!$H81</f>
        <v>0</v>
      </c>
      <c r="P81" s="120"/>
      <c r="Q81" s="97">
        <f>'project budget'!$I81</f>
        <v>0</v>
      </c>
      <c r="R81" s="120"/>
      <c r="S81" s="97">
        <f>'project budget'!$J81</f>
        <v>0</v>
      </c>
      <c r="T81" s="120"/>
      <c r="U81" s="97">
        <f>'project budget'!$K81</f>
        <v>0</v>
      </c>
      <c r="V81" s="120"/>
      <c r="W81" s="97">
        <f>'project budget'!$L81</f>
        <v>0</v>
      </c>
      <c r="X81" s="120"/>
      <c r="Y81" s="97">
        <f>'project budget'!$M81</f>
        <v>0</v>
      </c>
      <c r="Z81" s="97">
        <f t="shared" si="12"/>
        <v>0</v>
      </c>
      <c r="AA81" s="97">
        <f t="shared" si="12"/>
        <v>0</v>
      </c>
      <c r="AB81" s="120"/>
      <c r="AC81" s="120"/>
      <c r="AD81" s="6">
        <v>0</v>
      </c>
      <c r="AE81" s="97">
        <f t="shared" si="13"/>
        <v>0</v>
      </c>
    </row>
    <row r="82" spans="1:33" ht="14.4" outlineLevel="1">
      <c r="A82" s="686"/>
      <c r="B82" s="665" t="str">
        <f>'sources-uses'!B82</f>
        <v>[Additional Field - Specify]</v>
      </c>
      <c r="C82" s="97">
        <f>'sources-uses'!C82</f>
        <v>0</v>
      </c>
      <c r="D82" s="120"/>
      <c r="E82" s="143">
        <f t="shared" si="14"/>
        <v>0</v>
      </c>
      <c r="F82" s="120"/>
      <c r="G82" s="97">
        <f>'project budget'!$D82</f>
        <v>0</v>
      </c>
      <c r="H82" s="120"/>
      <c r="I82" s="97">
        <f>'project budget'!$E82</f>
        <v>0</v>
      </c>
      <c r="J82" s="120"/>
      <c r="K82" s="97">
        <f>'project budget'!$F82</f>
        <v>0</v>
      </c>
      <c r="L82" s="120"/>
      <c r="M82" s="97">
        <f>'project budget'!$G82</f>
        <v>0</v>
      </c>
      <c r="N82" s="120"/>
      <c r="O82" s="97">
        <f>'project budget'!$H82</f>
        <v>0</v>
      </c>
      <c r="P82" s="120"/>
      <c r="Q82" s="97">
        <f>'project budget'!$I82</f>
        <v>0</v>
      </c>
      <c r="R82" s="120"/>
      <c r="S82" s="97">
        <f>'project budget'!$J82</f>
        <v>0</v>
      </c>
      <c r="T82" s="120"/>
      <c r="U82" s="97">
        <f>'project budget'!$K82</f>
        <v>0</v>
      </c>
      <c r="V82" s="120"/>
      <c r="W82" s="97">
        <f>'project budget'!$L82</f>
        <v>0</v>
      </c>
      <c r="X82" s="120"/>
      <c r="Y82" s="97">
        <f>'project budget'!$M82</f>
        <v>0</v>
      </c>
      <c r="Z82" s="97">
        <f t="shared" si="12"/>
        <v>0</v>
      </c>
      <c r="AA82" s="97">
        <f t="shared" si="12"/>
        <v>0</v>
      </c>
      <c r="AB82" s="120"/>
      <c r="AC82" s="120"/>
      <c r="AD82" s="6">
        <v>0</v>
      </c>
      <c r="AE82" s="97">
        <f t="shared" si="13"/>
        <v>0</v>
      </c>
    </row>
    <row r="83" spans="1:33" ht="14.4">
      <c r="A83" s="686"/>
      <c r="B83" s="654" t="s">
        <v>444</v>
      </c>
      <c r="C83" s="123">
        <f>'sources-uses'!C83</f>
        <v>0</v>
      </c>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row>
    <row r="84" spans="1:33">
      <c r="A84" s="686"/>
      <c r="B84" s="669" t="str">
        <f>'sources-uses'!B84</f>
        <v>RESERVES</v>
      </c>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row>
    <row r="85" spans="1:33">
      <c r="A85" s="686"/>
      <c r="B85" s="590" t="str">
        <f>'sources-uses'!B85</f>
        <v>Working Capital</v>
      </c>
      <c r="C85" s="97">
        <f>'sources-uses'!C85</f>
        <v>0</v>
      </c>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6">
        <v>0</v>
      </c>
      <c r="AE85" s="120"/>
    </row>
    <row r="86" spans="1:33">
      <c r="A86" s="686"/>
      <c r="B86" s="590" t="str">
        <f>'sources-uses'!B86</f>
        <v>Rent-up (Deficit Escrow) Reserve</v>
      </c>
      <c r="C86" s="97">
        <f>'sources-uses'!C86</f>
        <v>0</v>
      </c>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6">
        <v>0</v>
      </c>
      <c r="AE86" s="120"/>
    </row>
    <row r="87" spans="1:33">
      <c r="A87" s="686"/>
      <c r="B87" s="590" t="str">
        <f>'sources-uses'!B87</f>
        <v>Operating Reserves</v>
      </c>
      <c r="C87" s="97">
        <f>'sources-uses'!C87</f>
        <v>0</v>
      </c>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6">
        <v>0</v>
      </c>
      <c r="AE87" s="120"/>
    </row>
    <row r="88" spans="1:33">
      <c r="A88" s="686"/>
      <c r="B88" s="590" t="str">
        <f>'sources-uses'!B88</f>
        <v>Replacement Reserves</v>
      </c>
      <c r="C88" s="179">
        <f>'sources-uses'!C88</f>
        <v>0</v>
      </c>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6">
        <v>0</v>
      </c>
      <c r="AE88" s="120"/>
    </row>
    <row r="89" spans="1:33" ht="14.4" outlineLevel="1">
      <c r="A89" s="686"/>
      <c r="B89" s="665" t="str">
        <f>'sources-uses'!B89</f>
        <v>[Additional Field - Specify]</v>
      </c>
      <c r="C89" s="179">
        <f>'sources-uses'!C89</f>
        <v>0</v>
      </c>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6">
        <v>0</v>
      </c>
      <c r="AE89" s="120"/>
    </row>
    <row r="90" spans="1:33" ht="14.4" outlineLevel="1">
      <c r="A90" s="686"/>
      <c r="B90" s="665" t="str">
        <f>'sources-uses'!B90</f>
        <v>[Additional Field - Specify]</v>
      </c>
      <c r="C90" s="179">
        <f>'sources-uses'!C90</f>
        <v>0</v>
      </c>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6">
        <v>0</v>
      </c>
      <c r="AE90" s="120"/>
    </row>
    <row r="91" spans="1:33" ht="14.4">
      <c r="A91" s="686"/>
      <c r="B91" s="654" t="s">
        <v>449</v>
      </c>
      <c r="C91" s="179">
        <f>'sources-uses'!C91</f>
        <v>0</v>
      </c>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6">
        <v>0</v>
      </c>
      <c r="AE91" s="120"/>
      <c r="AG91" s="164"/>
    </row>
    <row r="92" spans="1:33" ht="14.4" thickBot="1">
      <c r="A92" s="686"/>
      <c r="B92" s="669" t="str">
        <f>'sources-uses'!B92</f>
        <v>Subtotal - Soft Costs</v>
      </c>
      <c r="C92" s="181">
        <f>'sources-uses'!C92</f>
        <v>0</v>
      </c>
      <c r="D92" s="120"/>
      <c r="E92" s="120"/>
      <c r="F92" s="689"/>
      <c r="G92" s="689"/>
      <c r="H92" s="689"/>
      <c r="I92" s="689"/>
      <c r="J92" s="689"/>
      <c r="K92" s="689"/>
      <c r="L92" s="689"/>
      <c r="M92" s="689"/>
      <c r="N92" s="689"/>
      <c r="O92" s="689"/>
      <c r="P92" s="689"/>
      <c r="Q92" s="689"/>
      <c r="R92" s="689"/>
      <c r="S92" s="689"/>
      <c r="T92" s="689"/>
      <c r="U92" s="689"/>
      <c r="V92" s="689"/>
      <c r="W92" s="689"/>
      <c r="X92" s="689"/>
      <c r="Y92" s="689"/>
      <c r="Z92" s="689"/>
      <c r="AA92" s="689"/>
      <c r="AB92" s="689"/>
      <c r="AC92" s="689"/>
      <c r="AD92" s="195">
        <v>0</v>
      </c>
      <c r="AE92" s="120"/>
    </row>
    <row r="93" spans="1:33" ht="15" thickTop="1">
      <c r="B93" s="690" t="s">
        <v>475</v>
      </c>
      <c r="C93" s="182">
        <f>'sources-uses'!C93</f>
        <v>0</v>
      </c>
      <c r="D93" s="167">
        <f t="shared" ref="D93:Y93" si="15">SUM(D4:D92)</f>
        <v>0</v>
      </c>
      <c r="E93" s="20">
        <f t="shared" si="15"/>
        <v>0</v>
      </c>
      <c r="F93" s="20">
        <f t="shared" si="15"/>
        <v>0</v>
      </c>
      <c r="G93" s="21">
        <f t="shared" si="15"/>
        <v>0</v>
      </c>
      <c r="H93" s="20">
        <f t="shared" si="15"/>
        <v>0</v>
      </c>
      <c r="I93" s="21">
        <f t="shared" si="15"/>
        <v>0</v>
      </c>
      <c r="J93" s="20">
        <f t="shared" si="15"/>
        <v>0</v>
      </c>
      <c r="K93" s="21">
        <f t="shared" si="15"/>
        <v>0</v>
      </c>
      <c r="L93" s="20">
        <f t="shared" si="15"/>
        <v>0</v>
      </c>
      <c r="M93" s="21">
        <f t="shared" si="15"/>
        <v>0</v>
      </c>
      <c r="N93" s="20">
        <f t="shared" si="15"/>
        <v>0</v>
      </c>
      <c r="O93" s="21">
        <f t="shared" si="15"/>
        <v>0</v>
      </c>
      <c r="P93" s="20">
        <f t="shared" si="15"/>
        <v>0</v>
      </c>
      <c r="Q93" s="21">
        <f t="shared" si="15"/>
        <v>0</v>
      </c>
      <c r="R93" s="20">
        <f t="shared" si="15"/>
        <v>0</v>
      </c>
      <c r="S93" s="21">
        <f t="shared" si="15"/>
        <v>0</v>
      </c>
      <c r="T93" s="20">
        <f t="shared" si="15"/>
        <v>0</v>
      </c>
      <c r="U93" s="21">
        <f t="shared" si="15"/>
        <v>0</v>
      </c>
      <c r="V93" s="20">
        <f t="shared" si="15"/>
        <v>0</v>
      </c>
      <c r="W93" s="21">
        <f t="shared" si="15"/>
        <v>0</v>
      </c>
      <c r="X93" s="20">
        <f t="shared" si="15"/>
        <v>0</v>
      </c>
      <c r="Y93" s="21">
        <f t="shared" si="15"/>
        <v>0</v>
      </c>
      <c r="Z93" s="167">
        <f>SUM(Z4:Z92)-Z27</f>
        <v>0</v>
      </c>
      <c r="AA93" s="167">
        <f>SUM(AA4:AA92)</f>
        <v>0</v>
      </c>
      <c r="AB93" s="20">
        <f>SUM(AB4:AB92)</f>
        <v>0</v>
      </c>
      <c r="AC93" s="20">
        <f>SUM(AC4:AC92)</f>
        <v>0</v>
      </c>
      <c r="AD93" s="21">
        <f>SUM(AD4:AD92)</f>
        <v>0</v>
      </c>
      <c r="AE93" s="21">
        <f>SUM(AE4:AE92)</f>
        <v>0</v>
      </c>
      <c r="AF93" s="174">
        <f>IFERROR('credit calcs'!AE93/assumptions!B68,0)</f>
        <v>0</v>
      </c>
    </row>
    <row r="94" spans="1:33">
      <c r="Z94" s="691"/>
      <c r="AA94" s="691"/>
      <c r="AE94" s="692"/>
    </row>
    <row r="95" spans="1:33">
      <c r="A95" s="591" t="s">
        <v>476</v>
      </c>
      <c r="B95" s="71" t="s">
        <v>477</v>
      </c>
      <c r="C95" s="120"/>
      <c r="D95" s="105"/>
      <c r="E95" s="105"/>
      <c r="Z95" s="691"/>
      <c r="AA95" s="691"/>
      <c r="AE95" s="692"/>
    </row>
    <row r="96" spans="1:33">
      <c r="A96" s="591" t="s">
        <v>476</v>
      </c>
      <c r="B96" s="71" t="s">
        <v>478</v>
      </c>
      <c r="C96" s="120"/>
      <c r="D96" s="105"/>
      <c r="E96" s="105"/>
      <c r="Z96" s="691"/>
      <c r="AA96" s="169">
        <v>0.2</v>
      </c>
      <c r="AB96" s="170">
        <v>0.5</v>
      </c>
      <c r="AC96" s="170">
        <v>0.3</v>
      </c>
      <c r="AE96" s="693" t="s">
        <v>479</v>
      </c>
    </row>
    <row r="97" spans="1:31">
      <c r="B97" s="694" t="s">
        <v>480</v>
      </c>
      <c r="C97" s="163"/>
      <c r="D97" s="163">
        <f>D93-D95-D96</f>
        <v>0</v>
      </c>
      <c r="E97" s="163">
        <f>E93-E95-E96</f>
        <v>0</v>
      </c>
      <c r="F97" s="163">
        <f>F93-F95-F96</f>
        <v>0</v>
      </c>
      <c r="G97" s="166">
        <f t="shared" ref="G97" si="16">G93-G95-G96</f>
        <v>0</v>
      </c>
      <c r="H97" s="163">
        <f t="shared" ref="H97" si="17">H93-H95-H96</f>
        <v>0</v>
      </c>
      <c r="I97" s="163">
        <f t="shared" ref="I97" si="18">I93-I95-I96</f>
        <v>0</v>
      </c>
      <c r="J97" s="163">
        <f t="shared" ref="J97" si="19">J93-J95-J96</f>
        <v>0</v>
      </c>
      <c r="K97" s="163">
        <f t="shared" ref="K97" si="20">K93-K95-K96</f>
        <v>0</v>
      </c>
      <c r="L97" s="163">
        <f t="shared" ref="L97" si="21">L93-L95-L96</f>
        <v>0</v>
      </c>
      <c r="M97" s="163">
        <f t="shared" ref="M97" si="22">M93-M95-M96</f>
        <v>0</v>
      </c>
      <c r="N97" s="163">
        <f t="shared" ref="N97" si="23">N93-N95-N96</f>
        <v>0</v>
      </c>
      <c r="O97" s="163">
        <f t="shared" ref="O97" si="24">O93-O95-O96</f>
        <v>0</v>
      </c>
      <c r="P97" s="163">
        <f t="shared" ref="P97" si="25">P93-P95-P96</f>
        <v>0</v>
      </c>
      <c r="Q97" s="163">
        <f t="shared" ref="Q97" si="26">Q93-Q95-Q96</f>
        <v>0</v>
      </c>
      <c r="R97" s="163">
        <f t="shared" ref="R97" si="27">R93-R95-R96</f>
        <v>0</v>
      </c>
      <c r="S97" s="163">
        <f t="shared" ref="S97" si="28">S93-S95-S96</f>
        <v>0</v>
      </c>
      <c r="T97" s="163">
        <f t="shared" ref="T97" si="29">T93-T95-T96</f>
        <v>0</v>
      </c>
      <c r="U97" s="163">
        <f t="shared" ref="U97" si="30">U93-U95-U96</f>
        <v>0</v>
      </c>
      <c r="V97" s="163">
        <f t="shared" ref="V97" si="31">V93-V95-V96</f>
        <v>0</v>
      </c>
      <c r="W97" s="163">
        <f>W93-W95-W96</f>
        <v>0</v>
      </c>
      <c r="X97" s="163">
        <f t="shared" ref="X97" si="32">X93-X95-X96</f>
        <v>0</v>
      </c>
      <c r="Y97" s="163">
        <f t="shared" ref="Y97" si="33">Y93-Y95-Y96</f>
        <v>0</v>
      </c>
      <c r="Z97" s="163">
        <f>Z93-Z95-Z96</f>
        <v>0</v>
      </c>
      <c r="AA97" s="168">
        <f>AA96*AA93</f>
        <v>0</v>
      </c>
      <c r="AB97" s="143">
        <f t="shared" ref="AB97:AC97" si="34">AB96*AB93</f>
        <v>0</v>
      </c>
      <c r="AC97" s="143">
        <f t="shared" si="34"/>
        <v>0</v>
      </c>
      <c r="AE97" s="695" t="s">
        <v>481</v>
      </c>
    </row>
    <row r="98" spans="1:31">
      <c r="Z98" s="691"/>
      <c r="AA98" s="691"/>
      <c r="AE98" s="692"/>
    </row>
    <row r="99" spans="1:31">
      <c r="A99" s="591" t="s">
        <v>482</v>
      </c>
      <c r="B99" s="315" t="s">
        <v>483</v>
      </c>
      <c r="C99" s="165">
        <v>1</v>
      </c>
      <c r="D99" s="120"/>
      <c r="E99" s="97">
        <f>E97*$C$99</f>
        <v>0</v>
      </c>
      <c r="F99" s="120"/>
      <c r="G99" s="97">
        <f>G97*$C$99</f>
        <v>0</v>
      </c>
      <c r="H99" s="120"/>
      <c r="I99" s="97">
        <f>I97*$C$99</f>
        <v>0</v>
      </c>
      <c r="J99" s="120"/>
      <c r="K99" s="97">
        <f>K97*$C$99</f>
        <v>0</v>
      </c>
      <c r="L99" s="120"/>
      <c r="M99" s="97">
        <f>M97*$C$99</f>
        <v>0</v>
      </c>
      <c r="N99" s="120"/>
      <c r="O99" s="97">
        <f>O97*$C$99</f>
        <v>0</v>
      </c>
      <c r="P99" s="120"/>
      <c r="Q99" s="97">
        <f>Q97*$C$99</f>
        <v>0</v>
      </c>
      <c r="R99" s="120"/>
      <c r="S99" s="97">
        <f>S97*$C$99</f>
        <v>0</v>
      </c>
      <c r="T99" s="120"/>
      <c r="U99" s="97">
        <f>U97*$C$99</f>
        <v>0</v>
      </c>
      <c r="V99" s="120"/>
      <c r="W99" s="97">
        <f>W97*$C$99</f>
        <v>0</v>
      </c>
      <c r="X99" s="120"/>
      <c r="Y99" s="97">
        <f>Y97*$C$99</f>
        <v>0</v>
      </c>
      <c r="Z99" s="691"/>
      <c r="AA99" s="691"/>
      <c r="AE99" s="692"/>
    </row>
    <row r="100" spans="1:31" ht="14.4" thickBot="1">
      <c r="A100" s="591" t="s">
        <v>482</v>
      </c>
      <c r="B100" s="584" t="s">
        <v>373</v>
      </c>
      <c r="C100" s="164">
        <f>assumptions!D85</f>
        <v>0</v>
      </c>
      <c r="D100" s="97">
        <f>$C$100*D97</f>
        <v>0</v>
      </c>
      <c r="E100" s="97">
        <f>$C$100*E99</f>
        <v>0</v>
      </c>
      <c r="F100" s="97">
        <f>$C$100*F97</f>
        <v>0</v>
      </c>
      <c r="G100" s="97">
        <f>$C$100*G99</f>
        <v>0</v>
      </c>
      <c r="H100" s="97">
        <f>$C$100*H97</f>
        <v>0</v>
      </c>
      <c r="I100" s="97">
        <f>$C$100*I99</f>
        <v>0</v>
      </c>
      <c r="J100" s="97">
        <f>$C$100*J97</f>
        <v>0</v>
      </c>
      <c r="K100" s="97">
        <f>$C$100*K99</f>
        <v>0</v>
      </c>
      <c r="L100" s="97">
        <f>$C$100*L97</f>
        <v>0</v>
      </c>
      <c r="M100" s="97">
        <f>$C$100*M99</f>
        <v>0</v>
      </c>
      <c r="N100" s="97">
        <f>$C$100*N97</f>
        <v>0</v>
      </c>
      <c r="O100" s="97">
        <f>$C$100*O99</f>
        <v>0</v>
      </c>
      <c r="P100" s="97">
        <f>$C$100*P97</f>
        <v>0</v>
      </c>
      <c r="Q100" s="97">
        <f>$C$100*Q99</f>
        <v>0</v>
      </c>
      <c r="R100" s="97">
        <f>$C$100*R97</f>
        <v>0</v>
      </c>
      <c r="S100" s="97">
        <f>$C$100*S99</f>
        <v>0</v>
      </c>
      <c r="T100" s="97">
        <f>$C$100*T97</f>
        <v>0</v>
      </c>
      <c r="U100" s="97">
        <f>$C$100*U99</f>
        <v>0</v>
      </c>
      <c r="V100" s="97">
        <f>$C$100*V97</f>
        <v>0</v>
      </c>
      <c r="W100" s="97">
        <f>$C$100*W99</f>
        <v>0</v>
      </c>
      <c r="X100" s="97">
        <f>$C$100*X97</f>
        <v>0</v>
      </c>
      <c r="Y100" s="97">
        <f>$C$100*Y99</f>
        <v>0</v>
      </c>
      <c r="Z100" s="691"/>
      <c r="AA100" s="696"/>
      <c r="AB100" s="652"/>
      <c r="AC100" s="652"/>
      <c r="AD100" s="652"/>
      <c r="AE100" s="697"/>
    </row>
    <row r="101" spans="1:31" ht="14.4" thickTop="1">
      <c r="B101" s="694" t="s">
        <v>484</v>
      </c>
      <c r="C101" s="698"/>
      <c r="D101" s="163">
        <f t="shared" ref="D101:I101" si="35">D100</f>
        <v>0</v>
      </c>
      <c r="E101" s="163">
        <f t="shared" si="35"/>
        <v>0</v>
      </c>
      <c r="F101" s="163">
        <f t="shared" si="35"/>
        <v>0</v>
      </c>
      <c r="G101" s="163">
        <f t="shared" si="35"/>
        <v>0</v>
      </c>
      <c r="H101" s="163">
        <f t="shared" si="35"/>
        <v>0</v>
      </c>
      <c r="I101" s="163">
        <f t="shared" si="35"/>
        <v>0</v>
      </c>
      <c r="J101" s="163">
        <f t="shared" ref="J101:X101" si="36">J100</f>
        <v>0</v>
      </c>
      <c r="K101" s="163">
        <f t="shared" si="36"/>
        <v>0</v>
      </c>
      <c r="L101" s="163">
        <f t="shared" si="36"/>
        <v>0</v>
      </c>
      <c r="M101" s="163">
        <f t="shared" si="36"/>
        <v>0</v>
      </c>
      <c r="N101" s="163">
        <f t="shared" si="36"/>
        <v>0</v>
      </c>
      <c r="O101" s="163">
        <f t="shared" si="36"/>
        <v>0</v>
      </c>
      <c r="P101" s="163">
        <f t="shared" si="36"/>
        <v>0</v>
      </c>
      <c r="Q101" s="163">
        <f t="shared" si="36"/>
        <v>0</v>
      </c>
      <c r="R101" s="163">
        <f t="shared" si="36"/>
        <v>0</v>
      </c>
      <c r="S101" s="163">
        <f t="shared" si="36"/>
        <v>0</v>
      </c>
      <c r="T101" s="163">
        <f t="shared" si="36"/>
        <v>0</v>
      </c>
      <c r="U101" s="163">
        <f t="shared" si="36"/>
        <v>0</v>
      </c>
      <c r="V101" s="163">
        <f t="shared" si="36"/>
        <v>0</v>
      </c>
      <c r="W101" s="163">
        <f t="shared" si="36"/>
        <v>0</v>
      </c>
      <c r="X101" s="163">
        <f t="shared" si="36"/>
        <v>0</v>
      </c>
      <c r="Y101" s="163">
        <f>Y100</f>
        <v>0</v>
      </c>
      <c r="Z101" s="699">
        <f>Z97-Z109-Z105</f>
        <v>0</v>
      </c>
      <c r="AA101" s="657" t="s">
        <v>485</v>
      </c>
    </row>
    <row r="102" spans="1:31">
      <c r="Z102" s="699">
        <f>assumptions!E11</f>
        <v>27.5</v>
      </c>
      <c r="AA102" s="657" t="s">
        <v>486</v>
      </c>
    </row>
    <row r="103" spans="1:31">
      <c r="A103" s="591" t="s">
        <v>482</v>
      </c>
      <c r="B103" s="584" t="s">
        <v>487</v>
      </c>
      <c r="C103" s="134"/>
      <c r="D103" s="134">
        <f>IF(assumptions!$B$18="N/A","N/A",'VHFA Use'!$C$77)</f>
        <v>0.04</v>
      </c>
      <c r="E103" s="134">
        <f>assumptions!$B$18</f>
        <v>0.09</v>
      </c>
      <c r="F103" s="134">
        <f>IF(assumptions!$B$18="N/A","N/A",'VHFA Use'!$C$77)</f>
        <v>0.04</v>
      </c>
      <c r="G103" s="134">
        <f>assumptions!$B$18</f>
        <v>0.09</v>
      </c>
      <c r="H103" s="134">
        <f>IF(assumptions!$B$18="N/A","N/A",'VHFA Use'!$C$77)</f>
        <v>0.04</v>
      </c>
      <c r="I103" s="134">
        <f>assumptions!$B$18</f>
        <v>0.09</v>
      </c>
      <c r="J103" s="134">
        <f>IF(assumptions!$B$18="N/A","N/A",'VHFA Use'!$C$77)</f>
        <v>0.04</v>
      </c>
      <c r="K103" s="134">
        <f>assumptions!$B$18</f>
        <v>0.09</v>
      </c>
      <c r="L103" s="134">
        <f>IF(assumptions!$B$18="N/A","N/A",'VHFA Use'!$C$77)</f>
        <v>0.04</v>
      </c>
      <c r="M103" s="134">
        <f>assumptions!$B$18</f>
        <v>0.09</v>
      </c>
      <c r="N103" s="134">
        <f>IF(assumptions!$B$18="N/A","N/A",'VHFA Use'!$C$77)</f>
        <v>0.04</v>
      </c>
      <c r="O103" s="134">
        <f>assumptions!$B$18</f>
        <v>0.09</v>
      </c>
      <c r="P103" s="134">
        <f>IF(assumptions!$B$18="N/A","N/A",'VHFA Use'!$C$77)</f>
        <v>0.04</v>
      </c>
      <c r="Q103" s="134">
        <f>assumptions!$B$18</f>
        <v>0.09</v>
      </c>
      <c r="R103" s="134">
        <f>IF(assumptions!$B$18="N/A","N/A",'VHFA Use'!$C$77)</f>
        <v>0.04</v>
      </c>
      <c r="S103" s="134">
        <f>assumptions!$B$18</f>
        <v>0.09</v>
      </c>
      <c r="T103" s="134">
        <f>IF(assumptions!$B$18="N/A","N/A",'VHFA Use'!$C$77)</f>
        <v>0.04</v>
      </c>
      <c r="U103" s="134">
        <f>assumptions!$B$18</f>
        <v>0.09</v>
      </c>
      <c r="V103" s="134">
        <f>IF(assumptions!$B$18="N/A","N/A",'VHFA Use'!$C$77)</f>
        <v>0.04</v>
      </c>
      <c r="W103" s="134">
        <f>assumptions!$B$18</f>
        <v>0.09</v>
      </c>
      <c r="X103" s="134">
        <f>IF(assumptions!$B$18="N/A","N/A",'VHFA Use'!$C$77)</f>
        <v>0.04</v>
      </c>
      <c r="Y103" s="134">
        <f>assumptions!$B$18</f>
        <v>0.09</v>
      </c>
      <c r="Z103" s="699">
        <f>Z101/Z102</f>
        <v>0</v>
      </c>
      <c r="AA103" s="657" t="s">
        <v>488</v>
      </c>
    </row>
    <row r="104" spans="1:31">
      <c r="B104" s="694" t="s">
        <v>489</v>
      </c>
      <c r="C104" s="698"/>
      <c r="D104" s="163">
        <f>IF(assumptions!$A$18="LIHTC - None",0,D101*D$103)</f>
        <v>0</v>
      </c>
      <c r="E104" s="163">
        <f>IF(assumptions!$A$18="LIHTC - None",0,E101*E$103)</f>
        <v>0</v>
      </c>
      <c r="F104" s="163">
        <f>IF(assumptions!$A$18="LIHTC - None",0,F101*F$103)</f>
        <v>0</v>
      </c>
      <c r="G104" s="163">
        <f>IF(assumptions!$A$18="LIHTC - None",0,G101*G$103)</f>
        <v>0</v>
      </c>
      <c r="H104" s="163">
        <f>IF(assumptions!$A$18="LIHTC - None",0,H101*H$103)</f>
        <v>0</v>
      </c>
      <c r="I104" s="163">
        <f>IF(assumptions!$A$18="LIHTC - None",0,I101*I$103)</f>
        <v>0</v>
      </c>
      <c r="J104" s="163">
        <f>IF(assumptions!$A$18="LIHTC - None",0,J101*J$103)</f>
        <v>0</v>
      </c>
      <c r="K104" s="163">
        <f>IF(assumptions!$A$18="LIHTC - None",0,K101*K$103)</f>
        <v>0</v>
      </c>
      <c r="L104" s="163">
        <f>IF(assumptions!$A$18="LIHTC - None",0,L101*L$103)</f>
        <v>0</v>
      </c>
      <c r="M104" s="163">
        <f>IF(assumptions!$A$18="LIHTC - None",0,M101*M$103)</f>
        <v>0</v>
      </c>
      <c r="N104" s="163">
        <f>IF(assumptions!$A$18="LIHTC - None",0,N101*N$103)</f>
        <v>0</v>
      </c>
      <c r="O104" s="163">
        <f>IF(assumptions!$A$18="LIHTC - None",0,O101*O$103)</f>
        <v>0</v>
      </c>
      <c r="P104" s="163">
        <f>IF(assumptions!$A$18="LIHTC - None",0,P101*P$103)</f>
        <v>0</v>
      </c>
      <c r="Q104" s="163">
        <f>IF(assumptions!$A$18="LIHTC - None",0,Q101*Q$103)</f>
        <v>0</v>
      </c>
      <c r="R104" s="163">
        <f>IF(assumptions!$A$18="LIHTC - None",0,R101*R$103)</f>
        <v>0</v>
      </c>
      <c r="S104" s="163">
        <f>IF(assumptions!$A$18="LIHTC - None",0,S101*S$103)</f>
        <v>0</v>
      </c>
      <c r="T104" s="163">
        <f>IF(assumptions!$A$18="LIHTC - None",0,T101*T$103)</f>
        <v>0</v>
      </c>
      <c r="U104" s="163">
        <f>IF(assumptions!$A$18="LIHTC - None",0,U101*U$103)</f>
        <v>0</v>
      </c>
      <c r="V104" s="163">
        <f>IF(assumptions!$A$18="LIHTC - None",0,V101*V$103)</f>
        <v>0</v>
      </c>
      <c r="W104" s="163">
        <f>IF(assumptions!$A$18="LIHTC - None",0,W101*W$103)</f>
        <v>0</v>
      </c>
      <c r="X104" s="163">
        <f>IF(assumptions!$A$18="LIHTC - None",0,X101*X$103)</f>
        <v>0</v>
      </c>
      <c r="Y104" s="163">
        <f>IF(assumptions!$A$18="LIHTC - None",0,Y101*Y$103)</f>
        <v>0</v>
      </c>
      <c r="Z104" s="691"/>
      <c r="AA104" s="657"/>
    </row>
    <row r="105" spans="1:31">
      <c r="Z105" s="699">
        <f>Z27</f>
        <v>0</v>
      </c>
      <c r="AA105" s="657" t="s">
        <v>490</v>
      </c>
    </row>
    <row r="106" spans="1:31">
      <c r="Z106" s="699">
        <f>assumptions!E13</f>
        <v>5</v>
      </c>
      <c r="AA106" s="657" t="s">
        <v>486</v>
      </c>
    </row>
    <row r="107" spans="1:31">
      <c r="B107" s="700" t="s">
        <v>491</v>
      </c>
      <c r="C107" s="193">
        <f>assumptions!B15</f>
        <v>0</v>
      </c>
      <c r="D107" s="107"/>
      <c r="E107" s="107"/>
      <c r="Z107" s="699">
        <f>Z105/Z106</f>
        <v>0</v>
      </c>
      <c r="AA107" s="657" t="s">
        <v>488</v>
      </c>
    </row>
    <row r="108" spans="1:31">
      <c r="B108" s="701" t="s">
        <v>492</v>
      </c>
      <c r="C108" s="194">
        <f>assumptions!B51</f>
        <v>0</v>
      </c>
      <c r="D108" s="107"/>
      <c r="E108" s="107"/>
      <c r="Z108" s="691"/>
      <c r="AA108" s="657"/>
    </row>
    <row r="109" spans="1:31">
      <c r="B109" s="701" t="s">
        <v>493</v>
      </c>
      <c r="C109" s="308">
        <f>IFERROR(C108/(C107*10*assumptions!E74),0)</f>
        <v>0</v>
      </c>
      <c r="Z109" s="699">
        <v>0</v>
      </c>
      <c r="AA109" s="657" t="s">
        <v>494</v>
      </c>
    </row>
    <row r="110" spans="1:31">
      <c r="B110" s="701" t="s">
        <v>495</v>
      </c>
      <c r="C110" s="194">
        <f>'sources-uses'!C93-(SUM(assumptions!B21:B50)+SUM(assumptions!B52:B57))</f>
        <v>0</v>
      </c>
      <c r="D110" s="107"/>
      <c r="E110" s="107"/>
      <c r="Z110" s="699">
        <f>assumptions!E12</f>
        <v>15</v>
      </c>
      <c r="AA110" s="657" t="s">
        <v>486</v>
      </c>
    </row>
    <row r="111" spans="1:31">
      <c r="B111" s="702" t="s">
        <v>496</v>
      </c>
      <c r="C111" s="307">
        <f>IFERROR(C110/C109/10/assumptions!E74,0)</f>
        <v>0</v>
      </c>
      <c r="D111" s="703"/>
      <c r="E111" s="703"/>
      <c r="Z111" s="699">
        <f>Z109/Z110</f>
        <v>0</v>
      </c>
      <c r="AA111" s="657" t="s">
        <v>488</v>
      </c>
    </row>
  </sheetData>
  <sheetProtection algorithmName="SHA-512" hashValue="Q3YQ5rMuX9nOdcX5jqWQgdBe8PSu3zqGC2w2u6VYf5ikz9zf38MqLApXrTX8F78vOssdBaemX8JHwklxXQ7Qpw==" saltValue="xci/1oUbBxQHNz0eAOWVlA==" spinCount="100000" sheet="1" formatCells="0" formatColumns="0" formatRows="0"/>
  <mergeCells count="11">
    <mergeCell ref="D2:E2"/>
    <mergeCell ref="T2:U2"/>
    <mergeCell ref="F2:G2"/>
    <mergeCell ref="X2:Y2"/>
    <mergeCell ref="R2:S2"/>
    <mergeCell ref="P2:Q2"/>
    <mergeCell ref="N2:O2"/>
    <mergeCell ref="L2:M2"/>
    <mergeCell ref="J2:K2"/>
    <mergeCell ref="H2:I2"/>
    <mergeCell ref="V2:W2"/>
  </mergeCells>
  <dataValidations count="1">
    <dataValidation allowBlank="1" showInputMessage="1" showErrorMessage="1" prompt="Select 4% or 9% in the Assumptions tab." sqref="C103" xr:uid="{77C32537-81B4-42CA-BA94-E6543869A9DD}"/>
  </dataValidations>
  <pageMargins left="0.75" right="0.75" top="1" bottom="1" header="0.5" footer="0.5"/>
  <pageSetup scale="52" orientation="portrait" r:id="rId1"/>
  <headerFooter alignWithMargins="0">
    <oddFooter>&amp;L&amp;F
&amp;D&amp;T&amp;R&amp;"Times New Roman,Regular"&amp;8revision date:  8/6/2007</oddFooter>
  </headerFooter>
  <ignoredErrors>
    <ignoredError sqref="E99"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basis boost type or not adjusted" xr:uid="{9EB450C5-F2CC-4880-9057-A549B347BB60}">
          <x14:formula1>
            <xm:f>'VHFA Use'!$C$82:$C$84</xm:f>
          </x14:formula1>
          <xm:sqref>B99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70"/>
  <sheetViews>
    <sheetView zoomScaleNormal="100" workbookViewId="0"/>
  </sheetViews>
  <sheetFormatPr defaultColWidth="8.75" defaultRowHeight="13.8"/>
  <cols>
    <col min="1" max="1" width="21.1640625" style="4" customWidth="1"/>
    <col min="2" max="2" width="13.58203125" style="4" customWidth="1"/>
    <col min="3" max="3" width="20" style="4" customWidth="1"/>
    <col min="4" max="4" width="9.4140625" style="4" customWidth="1"/>
    <col min="5" max="5" width="8.75" style="4"/>
    <col min="6" max="6" width="13.75" style="4" bestFit="1" customWidth="1"/>
    <col min="7" max="7" width="11.25" style="4" customWidth="1"/>
    <col min="8" max="8" width="5.58203125" style="4" customWidth="1"/>
    <col min="9" max="9" width="2.25" style="4" customWidth="1"/>
    <col min="10" max="10" width="16.58203125" style="4" customWidth="1"/>
    <col min="11" max="12" width="7.25" style="4" customWidth="1"/>
    <col min="13" max="13" width="2.4140625" style="4" customWidth="1"/>
    <col min="14" max="16384" width="8.75" style="4"/>
  </cols>
  <sheetData>
    <row r="1" spans="1:14" ht="14.4" thickBot="1">
      <c r="A1" s="103" t="str">
        <f>assumptions!B2</f>
        <v>enter date</v>
      </c>
      <c r="B1" s="104" t="str">
        <f>assumptions!B1</f>
        <v>enter project name</v>
      </c>
      <c r="C1" s="18"/>
      <c r="D1" s="27"/>
      <c r="E1" s="27"/>
      <c r="F1" s="10"/>
      <c r="G1" s="27"/>
    </row>
    <row r="2" spans="1:14" ht="14.4" thickTop="1">
      <c r="B2" s="1"/>
      <c r="C2" s="1"/>
      <c r="D2" s="1"/>
      <c r="E2" s="1"/>
      <c r="F2" s="1"/>
      <c r="G2" s="1"/>
      <c r="I2" s="513" t="s">
        <v>497</v>
      </c>
      <c r="J2" s="513"/>
      <c r="K2" s="513"/>
      <c r="L2" s="513"/>
    </row>
    <row r="3" spans="1:14" s="12" customFormat="1">
      <c r="A3" s="291" t="s">
        <v>498</v>
      </c>
      <c r="B3" s="294" t="s">
        <v>499</v>
      </c>
      <c r="C3" s="111" t="s">
        <v>500</v>
      </c>
      <c r="D3" s="111"/>
      <c r="E3" s="111" t="s">
        <v>500</v>
      </c>
      <c r="F3" s="111" t="s">
        <v>501</v>
      </c>
      <c r="G3" s="133" t="s">
        <v>502</v>
      </c>
      <c r="I3" s="160"/>
      <c r="J3" s="160" t="s">
        <v>503</v>
      </c>
      <c r="K3" s="160" t="s">
        <v>504</v>
      </c>
      <c r="L3" s="160" t="s">
        <v>505</v>
      </c>
      <c r="N3" s="4"/>
    </row>
    <row r="4" spans="1:14">
      <c r="A4" s="292" t="s">
        <v>506</v>
      </c>
      <c r="B4" s="295" t="s">
        <v>507</v>
      </c>
      <c r="C4" s="292" t="s">
        <v>508</v>
      </c>
      <c r="D4" s="292" t="s">
        <v>509</v>
      </c>
      <c r="E4" s="292" t="s">
        <v>510</v>
      </c>
      <c r="F4" s="292" t="s">
        <v>251</v>
      </c>
      <c r="G4" s="292" t="s">
        <v>511</v>
      </c>
      <c r="I4" s="161">
        <v>1</v>
      </c>
      <c r="J4" s="71"/>
      <c r="K4" s="314">
        <f>COUNTIF(rents!A:A,J4)</f>
        <v>0</v>
      </c>
      <c r="L4" s="314">
        <f>IFERROR(SUMIFS(rents!$R$6:$R$100,rents!$A$6:$A$100,'rent summary'!J4),"")</f>
        <v>0</v>
      </c>
    </row>
    <row r="5" spans="1:14">
      <c r="A5" s="292"/>
      <c r="B5" s="292"/>
      <c r="C5" s="1"/>
      <c r="D5" s="1"/>
      <c r="E5" s="1"/>
      <c r="F5" s="1"/>
      <c r="G5" s="1"/>
      <c r="I5" s="161">
        <v>2</v>
      </c>
      <c r="J5" s="71"/>
      <c r="K5" s="314">
        <f>COUNTIF(rents!A:A,J5)</f>
        <v>0</v>
      </c>
      <c r="L5" s="314">
        <f>IFERROR(SUMIFS(rents!$R$6:$R$100,rents!$A$6:$A$100,'rent summary'!J5),"")</f>
        <v>0</v>
      </c>
    </row>
    <row r="6" spans="1:14">
      <c r="A6" s="292">
        <v>0</v>
      </c>
      <c r="B6" s="58"/>
      <c r="C6" s="316">
        <f>IFERROR(AVERAGEIFS(rents!$R$6:$R$100,rents!$G$6:$G$100,1,rents!$Q$6:$Q$100,'rent summary'!$A6),0)</f>
        <v>0</v>
      </c>
      <c r="D6" s="316">
        <f>COUNTIFS(rents!$G$6:$G$100,1,rents!$Q$6:$Q$100,'rent summary'!A6)</f>
        <v>0</v>
      </c>
      <c r="E6" s="157">
        <f>IFERROR(AVERAGEIFS(rents!$S$6:$S$100,rents!$G$6:$G$100,1,rents!$Q$6:$Q$100,'rent summary'!$A6),0)</f>
        <v>0</v>
      </c>
      <c r="F6" s="157">
        <f>IFERROR(AVERAGEIFS(rents!$T$6:$T$100,rents!$G$6:$G$100,1,rents!$Q$6:$Q$100,'rent summary'!$A6),0)</f>
        <v>0</v>
      </c>
      <c r="G6" s="97">
        <f>D6*E6*12</f>
        <v>0</v>
      </c>
      <c r="I6" s="161">
        <v>3</v>
      </c>
      <c r="J6" s="71"/>
      <c r="K6" s="314">
        <f>COUNTIF(rents!A:A,J6)</f>
        <v>0</v>
      </c>
      <c r="L6" s="314">
        <f>IFERROR(SUMIFS(rents!$R$6:$R$100,rents!$A$6:$A$100,'rent summary'!J6),"")</f>
        <v>0</v>
      </c>
    </row>
    <row r="7" spans="1:14">
      <c r="A7" s="292">
        <v>1</v>
      </c>
      <c r="B7" s="58"/>
      <c r="C7" s="316">
        <f>IFERROR(AVERAGEIFS(rents!$R$6:$R$100,rents!$G$6:$G$100,1,rents!$Q$6:$Q$100,'rent summary'!$A7),0)</f>
        <v>0</v>
      </c>
      <c r="D7" s="316">
        <f>COUNTIFS(rents!$G$6:$G$100,1,rents!$Q$6:$Q$100,'rent summary'!A7)</f>
        <v>0</v>
      </c>
      <c r="E7" s="157">
        <f>IFERROR(AVERAGEIFS(rents!$S$6:$S$100,rents!$G$6:$G$100,1,rents!$Q$6:$Q$100,'rent summary'!$A7),0)</f>
        <v>0</v>
      </c>
      <c r="F7" s="157">
        <f>IFERROR(AVERAGEIFS(rents!$T$6:$T$100,rents!$G$6:$G$100,1,rents!$Q$6:$Q$100,'rent summary'!$A7),0)</f>
        <v>0</v>
      </c>
      <c r="G7" s="97">
        <f>D7*E7*12</f>
        <v>0</v>
      </c>
      <c r="I7" s="161">
        <v>4</v>
      </c>
      <c r="J7" s="71"/>
      <c r="K7" s="314">
        <f>COUNTIF(rents!A:A,J7)</f>
        <v>0</v>
      </c>
      <c r="L7" s="314">
        <f>IFERROR(SUMIFS(rents!$R$6:$R$100,rents!$A$6:$A$100,'rent summary'!J7),"")</f>
        <v>0</v>
      </c>
    </row>
    <row r="8" spans="1:14">
      <c r="A8" s="292">
        <v>2</v>
      </c>
      <c r="B8" s="58"/>
      <c r="C8" s="316">
        <f>IFERROR(AVERAGEIFS(rents!$R$6:$R$100,rents!$G$6:$G$100,1,rents!$Q$6:$Q$100,'rent summary'!$A8),0)</f>
        <v>0</v>
      </c>
      <c r="D8" s="316">
        <f>COUNTIFS(rents!$G$6:$G$100,1,rents!$Q$6:$Q$100,'rent summary'!A8)</f>
        <v>0</v>
      </c>
      <c r="E8" s="157">
        <f>IFERROR(AVERAGEIFS(rents!$S$6:$S$100,rents!$G$6:$G$100,1,rents!$Q$6:$Q$100,'rent summary'!$A8),0)</f>
        <v>0</v>
      </c>
      <c r="F8" s="157">
        <f>IFERROR(AVERAGEIFS(rents!$T$6:$T$100,rents!$G$6:$G$100,1,rents!$Q$6:$Q$100,'rent summary'!$A8),0)</f>
        <v>0</v>
      </c>
      <c r="G8" s="97">
        <f>D8*E8*12</f>
        <v>0</v>
      </c>
      <c r="I8" s="161">
        <v>5</v>
      </c>
      <c r="J8" s="71"/>
      <c r="K8" s="314">
        <f>COUNTIF(rents!A:A,J8)</f>
        <v>0</v>
      </c>
      <c r="L8" s="314">
        <f>IFERROR(SUMIFS(rents!$R$6:$R$100,rents!$A$6:$A$100,'rent summary'!J8),"")</f>
        <v>0</v>
      </c>
    </row>
    <row r="9" spans="1:14">
      <c r="A9" s="292">
        <v>3</v>
      </c>
      <c r="B9" s="58"/>
      <c r="C9" s="316">
        <f>IFERROR(AVERAGEIFS(rents!$R$6:$R$100,rents!$G$6:$G$100,1,rents!$Q$6:$Q$100,'rent summary'!$A9),0)</f>
        <v>0</v>
      </c>
      <c r="D9" s="316">
        <f>COUNTIFS(rents!$G$6:$G$100,1,rents!$Q$6:$Q$100,'rent summary'!A9)</f>
        <v>0</v>
      </c>
      <c r="E9" s="157">
        <f>IFERROR(AVERAGEIFS(rents!$S$6:$S$100,rents!$G$6:$G$100,1,rents!$Q$6:$Q$100,'rent summary'!$A9),0)</f>
        <v>0</v>
      </c>
      <c r="F9" s="157">
        <f>IFERROR(AVERAGEIFS(rents!$T$6:$T$100,rents!$G$6:$G$100,1,rents!$Q$6:$Q$100,'rent summary'!$A9),0)</f>
        <v>0</v>
      </c>
      <c r="G9" s="97">
        <f>D9*E9*12</f>
        <v>0</v>
      </c>
      <c r="I9" s="161">
        <v>6</v>
      </c>
      <c r="J9" s="71"/>
      <c r="K9" s="314">
        <f>COUNTIF(rents!A:A,J9)</f>
        <v>0</v>
      </c>
      <c r="L9" s="314">
        <f>IFERROR(SUMIFS(rents!$R$6:$R$100,rents!$A$6:$A$100,'rent summary'!J9),"")</f>
        <v>0</v>
      </c>
    </row>
    <row r="10" spans="1:14">
      <c r="A10" s="292" t="s">
        <v>512</v>
      </c>
      <c r="B10" s="185"/>
      <c r="C10" s="316">
        <f>IFERROR(AVERAGEIFS(rents!$R$6:$R$100,rents!$G$6:$G$100,1,rents!$Q$6:$Q$100,"&gt;3"),0)</f>
        <v>0</v>
      </c>
      <c r="D10" s="316">
        <f>COUNTIFS(rents!$G$6:$G$100,1,rents!$Q$6:$Q$100,"&gt;3")</f>
        <v>0</v>
      </c>
      <c r="E10" s="157">
        <f>IFERROR(AVERAGEIFS(rents!$S$6:$S$100,rents!$G$6:$G$100,1,rents!$Q$6:$Q$100,"&gt;3"),0)</f>
        <v>0</v>
      </c>
      <c r="F10" s="157">
        <f>IFERROR(AVERAGEIFS(rents!$T$6:$T$100,rents!$G$6:$G$100,1,rents!$Q$6:$Q$100,"&gt;3"),0)</f>
        <v>0</v>
      </c>
      <c r="G10" s="97">
        <f>D10*E10*12</f>
        <v>0</v>
      </c>
      <c r="I10" s="161">
        <v>7</v>
      </c>
      <c r="J10" s="71"/>
      <c r="K10" s="314">
        <f>COUNTIF(rents!A:A,J10)</f>
        <v>0</v>
      </c>
      <c r="L10" s="314">
        <f>IFERROR(SUMIFS(rents!$R$6:$R$100,rents!$A$6:$A$100,'rent summary'!J10),"")</f>
        <v>0</v>
      </c>
    </row>
    <row r="11" spans="1:14">
      <c r="A11" s="1"/>
      <c r="B11" s="17" t="s">
        <v>513</v>
      </c>
      <c r="C11" s="159">
        <f>C6*D6+C7*D7+C8*D8+C9*D9+C10*D10</f>
        <v>0</v>
      </c>
      <c r="D11" s="127">
        <f>SUM(D5:D10)</f>
        <v>0</v>
      </c>
      <c r="E11" s="14"/>
      <c r="F11" s="121"/>
      <c r="G11" s="121">
        <f>SUM(G6:G10)</f>
        <v>0</v>
      </c>
      <c r="I11" s="161">
        <v>8</v>
      </c>
      <c r="J11" s="71"/>
      <c r="K11" s="314">
        <f>COUNTIF(rents!A:A,J11)</f>
        <v>0</v>
      </c>
      <c r="L11" s="314">
        <f>IFERROR(SUMIFS(rents!$R$6:$R$100,rents!$A$6:$A$100,'rent summary'!J11),"")</f>
        <v>0</v>
      </c>
    </row>
    <row r="12" spans="1:14">
      <c r="A12" s="1"/>
      <c r="I12" s="161">
        <v>9</v>
      </c>
      <c r="J12" s="71"/>
      <c r="K12" s="314">
        <f>COUNTIF(rents!A:A,J12)</f>
        <v>0</v>
      </c>
      <c r="L12" s="314">
        <f>IFERROR(SUMIFS(rents!$R$6:$R$100,rents!$A$6:$A$100,'rent summary'!J12),"")</f>
        <v>0</v>
      </c>
    </row>
    <row r="13" spans="1:14">
      <c r="A13" s="2" t="s">
        <v>514</v>
      </c>
      <c r="B13" s="294" t="s">
        <v>499</v>
      </c>
      <c r="C13" s="111" t="s">
        <v>500</v>
      </c>
      <c r="D13" s="294"/>
      <c r="E13" s="111" t="s">
        <v>500</v>
      </c>
      <c r="F13" s="111" t="s">
        <v>501</v>
      </c>
      <c r="G13" s="292" t="s">
        <v>502</v>
      </c>
      <c r="I13" s="161">
        <v>10</v>
      </c>
      <c r="J13" s="71"/>
      <c r="K13" s="314">
        <f>COUNTIF(rents!A:A,J13)</f>
        <v>0</v>
      </c>
      <c r="L13" s="314">
        <f>IFERROR(SUMIFS(rents!$R$6:$R$100,rents!$A$6:$A$100,'rent summary'!J13),"")</f>
        <v>0</v>
      </c>
    </row>
    <row r="14" spans="1:14">
      <c r="A14" s="292" t="s">
        <v>506</v>
      </c>
      <c r="B14" s="295" t="s">
        <v>507</v>
      </c>
      <c r="C14" s="292" t="s">
        <v>508</v>
      </c>
      <c r="D14" s="292" t="s">
        <v>509</v>
      </c>
      <c r="E14" s="292" t="s">
        <v>510</v>
      </c>
      <c r="F14" s="292" t="s">
        <v>251</v>
      </c>
      <c r="G14" s="292" t="s">
        <v>511</v>
      </c>
    </row>
    <row r="15" spans="1:14">
      <c r="A15" s="292"/>
      <c r="B15" s="1"/>
      <c r="C15" s="1"/>
      <c r="D15" s="1"/>
      <c r="E15" s="1"/>
      <c r="F15" s="1"/>
      <c r="G15" s="1"/>
    </row>
    <row r="16" spans="1:14">
      <c r="A16" s="292">
        <v>0</v>
      </c>
      <c r="B16" s="59"/>
      <c r="C16" s="316">
        <f>IFERROR(AVERAGEIFS(rents!$R$6:$R$100,rents!$G$6:$G$100,0,rents!$Q$6:$Q$100,'rent summary'!$A16),0)</f>
        <v>0</v>
      </c>
      <c r="D16" s="316">
        <f>IFERROR(COUNTIFS(rents!$G$6:$G$100,0,rents!$Q$6:$Q$100,'rent summary'!A16),0)</f>
        <v>0</v>
      </c>
      <c r="E16" s="157">
        <f>IFERROR(AVERAGEIFS(rents!$S$6:$S$100,rents!$G$6:$G$100,0,rents!$Q$6:$Q$100,'rent summary'!$A16),0)</f>
        <v>0</v>
      </c>
      <c r="F16" s="157">
        <f>IFERROR(AVERAGEIFS(rents!$T$6:$T$100,rents!$G$6:$G$100,0,rents!$Q$6:$Q$100,'rent summary'!$A16),0)</f>
        <v>0</v>
      </c>
      <c r="G16" s="97">
        <f>D16*E16*12</f>
        <v>0</v>
      </c>
    </row>
    <row r="17" spans="1:9">
      <c r="A17" s="292">
        <v>1</v>
      </c>
      <c r="B17" s="59"/>
      <c r="C17" s="316">
        <f>IFERROR(AVERAGEIFS(rents!$R$6:$R$100,rents!$G$6:$G$100,0,rents!$Q$6:$Q$100,'rent summary'!$A17),0)</f>
        <v>0</v>
      </c>
      <c r="D17" s="316">
        <f>IFERROR(COUNTIFS(rents!$G$6:$G$100,0,rents!$Q$6:$Q$100,'rent summary'!A17),0)</f>
        <v>0</v>
      </c>
      <c r="E17" s="157">
        <f>IFERROR(AVERAGEIFS(rents!$S$6:$S$100,rents!$G$6:$G$100,0,rents!$Q$6:$Q$100,'rent summary'!$A17),0)</f>
        <v>0</v>
      </c>
      <c r="F17" s="157">
        <f>IFERROR(AVERAGEIFS(rents!$T$6:$T$100,rents!$G$6:$G$100,0,rents!$Q$6:$Q$100,'rent summary'!$A17),0)</f>
        <v>0</v>
      </c>
      <c r="G17" s="97">
        <f>D17*E17*12</f>
        <v>0</v>
      </c>
    </row>
    <row r="18" spans="1:9">
      <c r="A18" s="292">
        <v>2</v>
      </c>
      <c r="B18" s="59"/>
      <c r="C18" s="316">
        <f>IFERROR(AVERAGEIFS(rents!$R$6:$R$100,rents!$G$6:$G$100,0,rents!$Q$6:$Q$100,'rent summary'!$A18),0)</f>
        <v>0</v>
      </c>
      <c r="D18" s="316">
        <f>IFERROR(COUNTIFS(rents!$G$6:$G$100,0,rents!$Q$6:$Q$100,'rent summary'!A18),0)</f>
        <v>0</v>
      </c>
      <c r="E18" s="157">
        <f>IFERROR(AVERAGEIFS(rents!$S$6:$S$100,rents!$G$6:$G$100,0,rents!$Q$6:$Q$100,'rent summary'!$A18),0)</f>
        <v>0</v>
      </c>
      <c r="F18" s="157">
        <f>IFERROR(AVERAGEIFS(rents!$T$6:$T$100,rents!$G$6:$G$100,0,rents!$Q$6:$Q$100,'rent summary'!$A18),0)</f>
        <v>0</v>
      </c>
      <c r="G18" s="97">
        <f>D18*E18*12</f>
        <v>0</v>
      </c>
    </row>
    <row r="19" spans="1:9">
      <c r="A19" s="292">
        <v>3</v>
      </c>
      <c r="B19" s="59"/>
      <c r="C19" s="316">
        <f>IFERROR(AVERAGEIFS(rents!$R$6:$R$100,rents!$G$6:$G$100,0,rents!$Q$6:$Q$100,'rent summary'!$A19),0)</f>
        <v>0</v>
      </c>
      <c r="D19" s="316">
        <f>IFERROR(COUNTIFS(rents!$G$6:$G$100,0,rents!$Q$6:$Q$100,'rent summary'!A19),0)</f>
        <v>0</v>
      </c>
      <c r="E19" s="157">
        <f>IFERROR(AVERAGEIFS(rents!$S$6:$S$100,rents!$G$6:$G$100,0,rents!$Q$6:$Q$100,'rent summary'!$A19),0)</f>
        <v>0</v>
      </c>
      <c r="F19" s="157">
        <f>IFERROR(AVERAGEIFS(rents!$T$6:$T$100,rents!$G$6:$G$100,0,rents!$Q$6:$Q$100,'rent summary'!$A19),0)</f>
        <v>0</v>
      </c>
      <c r="G19" s="97">
        <f>D19*E19*12</f>
        <v>0</v>
      </c>
      <c r="H19" s="24"/>
      <c r="I19" s="24"/>
    </row>
    <row r="20" spans="1:9">
      <c r="A20" s="292" t="s">
        <v>512</v>
      </c>
      <c r="B20" s="186"/>
      <c r="C20" s="316">
        <f>IFERROR(AVERAGEIFS(rents!$R$6:$R$100,rents!$G$6:$G$100,0,rents!$Q$6:$Q$100,"&gt;3"),0)</f>
        <v>0</v>
      </c>
      <c r="D20" s="316">
        <f>IFERROR(COUNTIFS(rents!$G$6:$G$100,0,rents!$Q$6:$Q$100,"&gt;3"),0)</f>
        <v>0</v>
      </c>
      <c r="E20" s="157">
        <f>IFERROR(AVERAGEIFS(rents!$S$6:$S$100,rents!$G$6:$G$100,0,rents!$Q$6:$Q$100,"&gt;3"),0)</f>
        <v>0</v>
      </c>
      <c r="F20" s="157">
        <f>IFERROR(AVERAGEIFS(rents!$T$6:$T$100,rents!$G$6:$G$100,0,rents!$Q$6:$Q$100,"&gt;3"),0)</f>
        <v>0</v>
      </c>
      <c r="G20" s="97">
        <f>D20*E20*12</f>
        <v>0</v>
      </c>
    </row>
    <row r="21" spans="1:9">
      <c r="A21" s="1"/>
      <c r="B21" s="17" t="s">
        <v>513</v>
      </c>
      <c r="C21" s="184">
        <f>(C16*D16)+(C17*D17)+(C18*D18)+(C19*D19)+(C20*D20)</f>
        <v>0</v>
      </c>
      <c r="D21" s="25">
        <f>SUM(D15:D20)</f>
        <v>0</v>
      </c>
      <c r="E21" s="14"/>
      <c r="F21" s="183"/>
      <c r="G21" s="121">
        <f>SUM(G16:G20)</f>
        <v>0</v>
      </c>
    </row>
    <row r="22" spans="1:9">
      <c r="A22" s="2"/>
      <c r="C22" s="22"/>
      <c r="D22" s="22"/>
      <c r="H22" s="24"/>
      <c r="I22" s="24"/>
    </row>
    <row r="23" spans="1:9">
      <c r="A23" s="293" t="s">
        <v>515</v>
      </c>
      <c r="B23" s="90"/>
      <c r="C23" s="296">
        <f>rents!R100</f>
        <v>0</v>
      </c>
      <c r="D23" s="317">
        <f>COUNTIFS(rents!A6:A100,rents!A100,rents!R6:R100,"&gt;0")</f>
        <v>0</v>
      </c>
      <c r="E23" s="1"/>
      <c r="F23" s="1"/>
      <c r="G23" s="1"/>
      <c r="H23" s="24"/>
      <c r="I23" s="24"/>
    </row>
    <row r="24" spans="1:9">
      <c r="A24" s="2"/>
      <c r="B24" s="2"/>
      <c r="C24" s="126"/>
      <c r="D24" s="22"/>
      <c r="E24" s="1"/>
      <c r="F24" s="1"/>
      <c r="G24" s="1"/>
    </row>
    <row r="25" spans="1:9">
      <c r="A25" s="1" t="s">
        <v>516</v>
      </c>
      <c r="B25" s="2"/>
      <c r="C25" s="297"/>
      <c r="D25" s="126">
        <f>D21+D11+D23</f>
        <v>0</v>
      </c>
      <c r="E25" s="3"/>
      <c r="F25" s="1"/>
      <c r="G25" s="125">
        <f>G21+G11</f>
        <v>0</v>
      </c>
    </row>
    <row r="26" spans="1:9">
      <c r="B26" s="5"/>
      <c r="C26" s="9"/>
      <c r="D26" s="9"/>
      <c r="E26" s="9"/>
      <c r="G26" s="9"/>
    </row>
    <row r="28" spans="1:9">
      <c r="C28" s="5" t="s">
        <v>517</v>
      </c>
      <c r="D28" s="309">
        <f>IF(assumptions!E9='VHFA Use'!C96,assumptions!F9,assumptions!E9)</f>
        <v>0.05</v>
      </c>
      <c r="G28" s="97">
        <f>-G25*D28</f>
        <v>0</v>
      </c>
    </row>
    <row r="29" spans="1:9" ht="14.4" thickBot="1">
      <c r="F29" s="19" t="s">
        <v>518</v>
      </c>
      <c r="G29" s="121">
        <f>G28+G25</f>
        <v>0</v>
      </c>
    </row>
    <row r="30" spans="1:9" ht="14.4" thickTop="1">
      <c r="C30" s="5" t="s">
        <v>519</v>
      </c>
      <c r="F30" s="30"/>
      <c r="G30" s="28"/>
    </row>
    <row r="31" spans="1:9">
      <c r="G31" s="6"/>
    </row>
    <row r="32" spans="1:9">
      <c r="C32" s="5" t="s">
        <v>520</v>
      </c>
      <c r="G32" s="55">
        <v>0</v>
      </c>
    </row>
    <row r="33" spans="3:7">
      <c r="C33" s="5" t="s">
        <v>521</v>
      </c>
      <c r="G33" s="55">
        <v>0</v>
      </c>
    </row>
    <row r="34" spans="3:7">
      <c r="C34" s="5" t="s">
        <v>522</v>
      </c>
      <c r="G34" s="55">
        <v>0</v>
      </c>
    </row>
    <row r="35" spans="3:7">
      <c r="C35" s="1" t="s">
        <v>523</v>
      </c>
      <c r="D35" s="29">
        <v>0.2</v>
      </c>
      <c r="G35" s="105">
        <f>-G34*D35</f>
        <v>0</v>
      </c>
    </row>
    <row r="36" spans="3:7">
      <c r="C36" s="315" t="s">
        <v>347</v>
      </c>
      <c r="G36" s="60">
        <v>0</v>
      </c>
    </row>
    <row r="37" spans="3:7">
      <c r="C37" s="315" t="s">
        <v>347</v>
      </c>
      <c r="G37" s="60">
        <v>0</v>
      </c>
    </row>
    <row r="38" spans="3:7" ht="14.4" thickBot="1">
      <c r="F38" s="19" t="s">
        <v>524</v>
      </c>
      <c r="G38" s="121">
        <f>G29+SUM(G32:G37)</f>
        <v>0</v>
      </c>
    </row>
    <row r="39" spans="3:7" ht="14.4" thickTop="1">
      <c r="F39" s="30"/>
      <c r="G39" s="30"/>
    </row>
    <row r="70" spans="6:16">
      <c r="F70" s="4" t="e">
        <f t="shared" ref="F70:P70" si="0">F4-F69</f>
        <v>#VALUE!</v>
      </c>
      <c r="G70" s="4" t="e">
        <f t="shared" si="0"/>
        <v>#VALUE!</v>
      </c>
      <c r="H70" s="4">
        <f t="shared" si="0"/>
        <v>0</v>
      </c>
      <c r="I70" s="4" t="e">
        <f>#REF!-I69</f>
        <v>#REF!</v>
      </c>
      <c r="J70" s="4" t="e">
        <f>#REF!-J69</f>
        <v>#REF!</v>
      </c>
      <c r="K70" s="4" t="e">
        <f>#REF!-K69</f>
        <v>#REF!</v>
      </c>
      <c r="M70" s="4">
        <f t="shared" si="0"/>
        <v>0</v>
      </c>
      <c r="N70" s="4">
        <f t="shared" si="0"/>
        <v>0</v>
      </c>
      <c r="O70" s="4">
        <f t="shared" si="0"/>
        <v>0</v>
      </c>
      <c r="P70" s="4">
        <f t="shared" si="0"/>
        <v>0</v>
      </c>
    </row>
  </sheetData>
  <sheetProtection algorithmName="SHA-512" hashValue="MbL3qaeYIcz4AyLQfQ08te5kaHYMPOTQB4MKMIKffpKtKmTKA+dVzBzv78aY5P8aoVFJYZkBPPeSK9SyY/lnbA==" saltValue="T9/lAnHQpS9rN3r0s+5k8Q==" spinCount="100000" sheet="1" formatCells="0" formatColumns="0" formatRows="0"/>
  <mergeCells count="1">
    <mergeCell ref="I2:L2"/>
  </mergeCells>
  <phoneticPr fontId="0" type="noConversion"/>
  <conditionalFormatting sqref="K4:L13">
    <cfRule type="cellIs" dxfId="0" priority="7" operator="equal">
      <formula>0</formula>
    </cfRule>
  </conditionalFormatting>
  <pageMargins left="0.75" right="0.75" top="1" bottom="1" header="0.5" footer="0.5"/>
  <pageSetup scale="70" orientation="portrait" r:id="rId1"/>
  <headerFooter alignWithMargins="0">
    <oddFooter>&amp;L&amp;F
&amp;D&amp;T&amp;R&amp;"Times New Roman,Regular"&amp;8revision date:  8/6/2007</oddFooter>
  </headerFooter>
  <ignoredErrors>
    <ignoredError sqref="D21"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2" id="{8C56B0F5-BC77-46CC-BE47-CEF009591776}">
            <xm:f>assumptions!$B$3&lt;2</xm:f>
            <x14:dxf>
              <font>
                <color theme="0"/>
              </font>
              <fill>
                <patternFill patternType="none">
                  <bgColor auto="1"/>
                </patternFill>
              </fill>
              <border>
                <left/>
                <right/>
                <top/>
                <bottom/>
              </border>
            </x14:dxf>
          </x14:cfRule>
          <xm:sqref>I2 I3:L13</xm:sqref>
        </x14:conditionalFormatting>
        <x14:conditionalFormatting xmlns:xm="http://schemas.microsoft.com/office/excel/2006/main">
          <x14:cfRule type="cellIs" priority="9" operator="greaterThan" id="{B3DDDCBE-A8FA-4457-8195-FAE9CC6D268F}">
            <xm:f>assumptions!$B$3</xm:f>
            <x14:dxf>
              <font>
                <color theme="0" tint="-4.9989318521683403E-2"/>
              </font>
            </x14:dxf>
          </x14:cfRule>
          <xm:sqref>I4:I13</xm:sqref>
        </x14:conditionalFormatting>
        <x14:conditionalFormatting xmlns:xm="http://schemas.microsoft.com/office/excel/2006/main">
          <x14:cfRule type="expression" priority="1" id="{BB4C03DA-8D23-405A-9049-DA187768B65A}">
            <xm:f>assumptions!$B$3&lt;2</xm:f>
            <x14:dxf>
              <font>
                <color theme="0"/>
              </font>
            </x14:dxf>
          </x14:cfRule>
          <xm:sqref>K4:L13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31B260F-6D08-4E22-9376-9A640A57257D}">
          <x14:formula1>
            <xm:f>'VHFA Use'!$C$71:$C$72</xm:f>
          </x14:formula1>
          <xm:sqref>B16:B20 B6:B10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119"/>
  <sheetViews>
    <sheetView zoomScale="90" zoomScaleNormal="90" workbookViewId="0"/>
  </sheetViews>
  <sheetFormatPr defaultColWidth="8.75" defaultRowHeight="13.8" outlineLevelRow="1" outlineLevelCol="1"/>
  <cols>
    <col min="1" max="1" width="14.25" style="584" customWidth="1"/>
    <col min="2" max="2" width="7.75" style="584" customWidth="1"/>
    <col min="3" max="5" width="5.58203125" style="584" customWidth="1"/>
    <col min="6" max="6" width="6.75" style="584" customWidth="1"/>
    <col min="7" max="13" width="5.58203125" style="584" customWidth="1"/>
    <col min="14" max="15" width="5.58203125" style="584" customWidth="1" outlineLevel="1"/>
    <col min="16" max="16" width="5.58203125" style="584" customWidth="1"/>
    <col min="17" max="17" width="10.4140625" style="584" bestFit="1" customWidth="1"/>
    <col min="18" max="19" width="10" style="584" bestFit="1" customWidth="1"/>
    <col min="20" max="20" width="9.75" style="584" customWidth="1"/>
    <col min="21" max="21" width="9" style="584" bestFit="1" customWidth="1"/>
    <col min="22" max="36" width="6" style="584" customWidth="1"/>
    <col min="37" max="37" width="6.58203125" style="584" customWidth="1"/>
    <col min="38" max="16384" width="8.75" style="584"/>
  </cols>
  <sheetData>
    <row r="1" spans="1:40" ht="14.4" thickBot="1">
      <c r="A1" s="581" t="str">
        <f>assumptions!B2</f>
        <v>enter date</v>
      </c>
      <c r="B1" s="648" t="str">
        <f>assumptions!B1</f>
        <v>enter project name</v>
      </c>
      <c r="C1" s="704"/>
      <c r="D1" s="652"/>
      <c r="E1" s="705"/>
      <c r="F1" s="652"/>
      <c r="G1" s="649"/>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row>
    <row r="2" spans="1:40" ht="14.4" thickTop="1">
      <c r="A2" s="706"/>
      <c r="B2" s="674"/>
      <c r="C2" s="674"/>
      <c r="D2" s="674"/>
      <c r="E2" s="674"/>
      <c r="F2" s="674"/>
      <c r="G2" s="674"/>
      <c r="H2" s="674"/>
      <c r="I2" s="674"/>
      <c r="J2" s="674"/>
      <c r="K2" s="674"/>
      <c r="L2" s="674"/>
      <c r="M2" s="674"/>
      <c r="N2" s="674"/>
      <c r="O2" s="674"/>
      <c r="P2" s="674"/>
    </row>
    <row r="3" spans="1:40" s="658" customFormat="1">
      <c r="A3" s="707"/>
      <c r="B3" s="708" t="s">
        <v>525</v>
      </c>
      <c r="C3" s="709"/>
      <c r="D3" s="709"/>
      <c r="E3" s="709"/>
      <c r="F3" s="709"/>
      <c r="G3" s="709"/>
      <c r="H3" s="709"/>
      <c r="I3" s="709"/>
      <c r="J3" s="709"/>
      <c r="K3" s="709"/>
      <c r="L3" s="709"/>
      <c r="M3" s="709"/>
      <c r="N3" s="709"/>
      <c r="O3" s="709"/>
      <c r="P3" s="709"/>
      <c r="Q3" s="710" t="s">
        <v>526</v>
      </c>
      <c r="R3" s="711"/>
      <c r="S3" s="711"/>
      <c r="T3" s="711"/>
      <c r="U3" s="712"/>
      <c r="V3" s="710" t="s">
        <v>527</v>
      </c>
      <c r="W3" s="711"/>
      <c r="X3" s="711"/>
      <c r="Y3" s="711"/>
      <c r="Z3" s="711"/>
      <c r="AA3" s="711"/>
      <c r="AB3" s="711"/>
      <c r="AC3" s="712"/>
      <c r="AD3" s="710" t="s">
        <v>528</v>
      </c>
      <c r="AE3" s="711"/>
      <c r="AF3" s="713"/>
      <c r="AG3" s="713"/>
      <c r="AH3" s="713"/>
      <c r="AI3" s="713"/>
      <c r="AJ3" s="713"/>
      <c r="AK3" s="714"/>
    </row>
    <row r="4" spans="1:40" s="725" customFormat="1" ht="78.75" customHeight="1">
      <c r="A4" s="715" t="s">
        <v>529</v>
      </c>
      <c r="B4" s="716" t="s">
        <v>530</v>
      </c>
      <c r="C4" s="717" t="s">
        <v>531</v>
      </c>
      <c r="D4" s="717" t="s">
        <v>532</v>
      </c>
      <c r="E4" s="717" t="s">
        <v>533</v>
      </c>
      <c r="F4" s="717" t="s">
        <v>534</v>
      </c>
      <c r="G4" s="717" t="s">
        <v>535</v>
      </c>
      <c r="H4" s="718" t="s">
        <v>536</v>
      </c>
      <c r="I4" s="718" t="s">
        <v>537</v>
      </c>
      <c r="J4" s="718" t="s">
        <v>538</v>
      </c>
      <c r="K4" s="717" t="s">
        <v>539</v>
      </c>
      <c r="L4" s="718" t="s">
        <v>540</v>
      </c>
      <c r="M4" s="718" t="s">
        <v>541</v>
      </c>
      <c r="N4" s="791" t="s">
        <v>347</v>
      </c>
      <c r="O4" s="791" t="s">
        <v>347</v>
      </c>
      <c r="P4" s="719" t="s">
        <v>542</v>
      </c>
      <c r="Q4" s="720" t="s">
        <v>543</v>
      </c>
      <c r="R4" s="715" t="s">
        <v>544</v>
      </c>
      <c r="S4" s="715" t="s">
        <v>545</v>
      </c>
      <c r="T4" s="715" t="s">
        <v>546</v>
      </c>
      <c r="U4" s="721" t="s">
        <v>547</v>
      </c>
      <c r="V4" s="722" t="s">
        <v>548</v>
      </c>
      <c r="W4" s="723"/>
      <c r="X4" s="715"/>
      <c r="Y4" s="715"/>
      <c r="Z4" s="715"/>
      <c r="AA4" s="715"/>
      <c r="AB4" s="715"/>
      <c r="AC4" s="721"/>
      <c r="AD4" s="723" t="s">
        <v>549</v>
      </c>
      <c r="AE4" s="723"/>
      <c r="AF4" s="724"/>
      <c r="AG4" s="724"/>
      <c r="AH4" s="724"/>
      <c r="AI4" s="724"/>
      <c r="AJ4" s="724"/>
      <c r="AK4" s="724"/>
      <c r="AM4" s="726" t="s">
        <v>550</v>
      </c>
      <c r="AN4" s="727" t="s">
        <v>551</v>
      </c>
    </row>
    <row r="5" spans="1:40" s="663" customFormat="1" ht="33" customHeight="1">
      <c r="A5" s="715"/>
      <c r="B5" s="715"/>
      <c r="C5" s="728"/>
      <c r="D5" s="728"/>
      <c r="E5" s="728"/>
      <c r="F5" s="728"/>
      <c r="G5" s="728"/>
      <c r="H5" s="717"/>
      <c r="I5" s="717"/>
      <c r="J5" s="717"/>
      <c r="K5" s="728"/>
      <c r="L5" s="717"/>
      <c r="M5" s="717"/>
      <c r="N5" s="792"/>
      <c r="O5" s="792"/>
      <c r="P5" s="719"/>
      <c r="Q5" s="729"/>
      <c r="R5" s="715"/>
      <c r="S5" s="715"/>
      <c r="T5" s="715"/>
      <c r="U5" s="721"/>
      <c r="V5" s="286">
        <v>0.3</v>
      </c>
      <c r="W5" s="287">
        <v>0.4</v>
      </c>
      <c r="X5" s="287">
        <v>0.5</v>
      </c>
      <c r="Y5" s="287">
        <v>0.6</v>
      </c>
      <c r="Z5" s="287">
        <v>0.7</v>
      </c>
      <c r="AA5" s="287">
        <v>0.8</v>
      </c>
      <c r="AB5" s="287">
        <v>1</v>
      </c>
      <c r="AC5" s="288" t="s">
        <v>552</v>
      </c>
      <c r="AD5" s="730" t="s">
        <v>553</v>
      </c>
      <c r="AE5" s="289">
        <v>0.4</v>
      </c>
      <c r="AF5" s="731" t="s">
        <v>554</v>
      </c>
      <c r="AG5" s="731" t="s">
        <v>555</v>
      </c>
      <c r="AH5" s="731" t="s">
        <v>556</v>
      </c>
      <c r="AI5" s="290" t="s">
        <v>557</v>
      </c>
      <c r="AJ5" s="731" t="s">
        <v>558</v>
      </c>
      <c r="AK5" s="731" t="s">
        <v>559</v>
      </c>
      <c r="AM5" s="732"/>
      <c r="AN5" s="733"/>
    </row>
    <row r="6" spans="1:40">
      <c r="A6" s="173"/>
      <c r="B6" s="61"/>
      <c r="C6" s="62"/>
      <c r="D6" s="62"/>
      <c r="E6" s="62"/>
      <c r="F6" s="62"/>
      <c r="G6" s="63"/>
      <c r="H6" s="62"/>
      <c r="I6" s="62"/>
      <c r="J6" s="62"/>
      <c r="K6" s="62"/>
      <c r="L6" s="284"/>
      <c r="M6" s="284"/>
      <c r="N6" s="284"/>
      <c r="O6" s="284"/>
      <c r="P6" s="64"/>
      <c r="Q6" s="65"/>
      <c r="R6" s="66"/>
      <c r="S6" s="67">
        <v>0</v>
      </c>
      <c r="T6" s="67">
        <v>0</v>
      </c>
      <c r="U6" s="310">
        <f>S6+T6</f>
        <v>0</v>
      </c>
      <c r="V6" s="92"/>
      <c r="W6" s="66"/>
      <c r="X6" s="93"/>
      <c r="Y6" s="66"/>
      <c r="Z6" s="66"/>
      <c r="AA6" s="66"/>
      <c r="AB6" s="66"/>
      <c r="AC6" s="68"/>
      <c r="AD6" s="66"/>
      <c r="AE6" s="66"/>
      <c r="AF6" s="66"/>
      <c r="AG6" s="66"/>
      <c r="AH6" s="66"/>
      <c r="AI6" s="66"/>
      <c r="AJ6" s="66"/>
      <c r="AK6" s="66"/>
      <c r="AM6" s="734">
        <f>G6*R6</f>
        <v>0</v>
      </c>
      <c r="AN6" s="305" t="e">
        <f>IF(assumptions!$B$13='VHFA Use'!$C$86,LOOKUP(1,V6:AB6,$V$5:$AB$5),"N/A")</f>
        <v>#N/A</v>
      </c>
    </row>
    <row r="7" spans="1:40">
      <c r="A7" s="173"/>
      <c r="B7" s="61"/>
      <c r="C7" s="62"/>
      <c r="D7" s="62"/>
      <c r="E7" s="62"/>
      <c r="F7" s="62"/>
      <c r="G7" s="63"/>
      <c r="H7" s="62"/>
      <c r="I7" s="62"/>
      <c r="J7" s="62"/>
      <c r="K7" s="62"/>
      <c r="L7" s="284"/>
      <c r="M7" s="284"/>
      <c r="N7" s="284"/>
      <c r="O7" s="284"/>
      <c r="P7" s="64"/>
      <c r="Q7" s="65"/>
      <c r="R7" s="66"/>
      <c r="S7" s="67">
        <v>0</v>
      </c>
      <c r="T7" s="67">
        <v>0</v>
      </c>
      <c r="U7" s="310">
        <f t="shared" ref="U7:U80" si="0">S7+T7</f>
        <v>0</v>
      </c>
      <c r="V7" s="92"/>
      <c r="W7" s="66"/>
      <c r="X7" s="93"/>
      <c r="Y7" s="66"/>
      <c r="Z7" s="66"/>
      <c r="AA7" s="66"/>
      <c r="AB7" s="66"/>
      <c r="AC7" s="68"/>
      <c r="AD7" s="66"/>
      <c r="AE7" s="66"/>
      <c r="AF7" s="66"/>
      <c r="AG7" s="66"/>
      <c r="AH7" s="66"/>
      <c r="AI7" s="66"/>
      <c r="AJ7" s="66"/>
      <c r="AK7" s="66"/>
      <c r="AM7" s="734">
        <f>G7*R7</f>
        <v>0</v>
      </c>
      <c r="AN7" s="305" t="e">
        <f>IF(assumptions!$B$13='VHFA Use'!$C$86,LOOKUP(1,V7:AB7,$V$5:$AB$5),"N/A")</f>
        <v>#N/A</v>
      </c>
    </row>
    <row r="8" spans="1:40">
      <c r="A8" s="173"/>
      <c r="B8" s="61"/>
      <c r="C8" s="62"/>
      <c r="D8" s="62"/>
      <c r="E8" s="62"/>
      <c r="F8" s="62"/>
      <c r="G8" s="63"/>
      <c r="H8" s="62"/>
      <c r="I8" s="62"/>
      <c r="J8" s="62"/>
      <c r="K8" s="62"/>
      <c r="L8" s="284"/>
      <c r="M8" s="284"/>
      <c r="N8" s="284"/>
      <c r="O8" s="284"/>
      <c r="P8" s="64"/>
      <c r="Q8" s="65"/>
      <c r="R8" s="66"/>
      <c r="S8" s="67">
        <v>0</v>
      </c>
      <c r="T8" s="67">
        <v>0</v>
      </c>
      <c r="U8" s="310">
        <f t="shared" si="0"/>
        <v>0</v>
      </c>
      <c r="V8" s="92"/>
      <c r="W8" s="66"/>
      <c r="X8" s="93"/>
      <c r="Y8" s="66"/>
      <c r="Z8" s="66"/>
      <c r="AA8" s="66"/>
      <c r="AB8" s="66"/>
      <c r="AC8" s="68"/>
      <c r="AD8" s="66"/>
      <c r="AE8" s="66"/>
      <c r="AF8" s="66"/>
      <c r="AG8" s="66"/>
      <c r="AH8" s="66"/>
      <c r="AI8" s="66"/>
      <c r="AJ8" s="66"/>
      <c r="AK8" s="66"/>
      <c r="AM8" s="734">
        <f t="shared" ref="AM8:AM37" si="1">G8*R8</f>
        <v>0</v>
      </c>
      <c r="AN8" s="305" t="e">
        <f>IF(assumptions!$B$13='VHFA Use'!$C$86,LOOKUP(1,V8:AB8,$V$5:$AB$5),"N/A")</f>
        <v>#N/A</v>
      </c>
    </row>
    <row r="9" spans="1:40">
      <c r="A9" s="173"/>
      <c r="B9" s="61"/>
      <c r="C9" s="62"/>
      <c r="D9" s="62"/>
      <c r="E9" s="62"/>
      <c r="F9" s="62"/>
      <c r="G9" s="63"/>
      <c r="H9" s="62"/>
      <c r="I9" s="62"/>
      <c r="J9" s="62"/>
      <c r="K9" s="62"/>
      <c r="L9" s="284"/>
      <c r="M9" s="284"/>
      <c r="N9" s="284"/>
      <c r="O9" s="284"/>
      <c r="P9" s="64"/>
      <c r="Q9" s="65"/>
      <c r="R9" s="66"/>
      <c r="S9" s="67">
        <v>0</v>
      </c>
      <c r="T9" s="67">
        <v>0</v>
      </c>
      <c r="U9" s="310">
        <f t="shared" si="0"/>
        <v>0</v>
      </c>
      <c r="V9" s="92"/>
      <c r="W9" s="66"/>
      <c r="X9" s="93"/>
      <c r="Y9" s="66"/>
      <c r="Z9" s="66"/>
      <c r="AA9" s="66"/>
      <c r="AB9" s="66"/>
      <c r="AC9" s="68"/>
      <c r="AD9" s="66"/>
      <c r="AE9" s="66"/>
      <c r="AF9" s="66"/>
      <c r="AG9" s="66"/>
      <c r="AH9" s="66"/>
      <c r="AI9" s="66"/>
      <c r="AJ9" s="66"/>
      <c r="AK9" s="66"/>
      <c r="AM9" s="734">
        <f t="shared" si="1"/>
        <v>0</v>
      </c>
      <c r="AN9" s="305" t="e">
        <f>IF(assumptions!$B$13='VHFA Use'!$C$86,LOOKUP(1,V9:AB9,$V$5:$AB$5),"N/A")</f>
        <v>#N/A</v>
      </c>
    </row>
    <row r="10" spans="1:40">
      <c r="A10" s="173"/>
      <c r="B10" s="61"/>
      <c r="C10" s="62"/>
      <c r="D10" s="62"/>
      <c r="E10" s="62"/>
      <c r="F10" s="62"/>
      <c r="G10" s="63"/>
      <c r="H10" s="62"/>
      <c r="I10" s="62"/>
      <c r="J10" s="62"/>
      <c r="K10" s="62"/>
      <c r="L10" s="284"/>
      <c r="M10" s="284"/>
      <c r="N10" s="284"/>
      <c r="O10" s="284"/>
      <c r="P10" s="64"/>
      <c r="Q10" s="65"/>
      <c r="R10" s="66"/>
      <c r="S10" s="67">
        <v>0</v>
      </c>
      <c r="T10" s="67">
        <v>0</v>
      </c>
      <c r="U10" s="310">
        <f t="shared" si="0"/>
        <v>0</v>
      </c>
      <c r="V10" s="92"/>
      <c r="W10" s="66"/>
      <c r="X10" s="93"/>
      <c r="Y10" s="66"/>
      <c r="Z10" s="66"/>
      <c r="AA10" s="66"/>
      <c r="AB10" s="66"/>
      <c r="AC10" s="68"/>
      <c r="AD10" s="66"/>
      <c r="AE10" s="66"/>
      <c r="AF10" s="66"/>
      <c r="AG10" s="66"/>
      <c r="AH10" s="66"/>
      <c r="AI10" s="66"/>
      <c r="AJ10" s="66"/>
      <c r="AK10" s="66"/>
      <c r="AM10" s="734">
        <f t="shared" si="1"/>
        <v>0</v>
      </c>
      <c r="AN10" s="305" t="e">
        <f>IF(assumptions!$B$13='VHFA Use'!$C$86,LOOKUP(1,V10:AB10,$V$5:$AB$5),"N/A")</f>
        <v>#N/A</v>
      </c>
    </row>
    <row r="11" spans="1:40">
      <c r="A11" s="173"/>
      <c r="B11" s="61"/>
      <c r="C11" s="62"/>
      <c r="D11" s="62"/>
      <c r="E11" s="62"/>
      <c r="F11" s="62"/>
      <c r="G11" s="63"/>
      <c r="H11" s="62"/>
      <c r="I11" s="62"/>
      <c r="J11" s="62"/>
      <c r="K11" s="62"/>
      <c r="L11" s="284"/>
      <c r="M11" s="284"/>
      <c r="N11" s="284"/>
      <c r="O11" s="284"/>
      <c r="P11" s="64"/>
      <c r="Q11" s="65"/>
      <c r="R11" s="66"/>
      <c r="S11" s="67">
        <v>0</v>
      </c>
      <c r="T11" s="67">
        <v>0</v>
      </c>
      <c r="U11" s="310">
        <f t="shared" ref="U11:U47" si="2">S11+T11</f>
        <v>0</v>
      </c>
      <c r="V11" s="92"/>
      <c r="W11" s="66"/>
      <c r="X11" s="93"/>
      <c r="Y11" s="66"/>
      <c r="Z11" s="66"/>
      <c r="AA11" s="66"/>
      <c r="AB11" s="66"/>
      <c r="AC11" s="68"/>
      <c r="AD11" s="66"/>
      <c r="AE11" s="66"/>
      <c r="AF11" s="66"/>
      <c r="AG11" s="66"/>
      <c r="AH11" s="66"/>
      <c r="AI11" s="66"/>
      <c r="AJ11" s="66"/>
      <c r="AK11" s="66"/>
      <c r="AM11" s="734">
        <f t="shared" si="1"/>
        <v>0</v>
      </c>
      <c r="AN11" s="305" t="e">
        <f>IF(assumptions!$B$13='VHFA Use'!$C$86,LOOKUP(1,V11:AB11,$V$5:$AB$5),"N/A")</f>
        <v>#N/A</v>
      </c>
    </row>
    <row r="12" spans="1:40">
      <c r="A12" s="173"/>
      <c r="B12" s="61"/>
      <c r="C12" s="62"/>
      <c r="D12" s="62"/>
      <c r="E12" s="62"/>
      <c r="F12" s="62"/>
      <c r="G12" s="63"/>
      <c r="H12" s="62"/>
      <c r="I12" s="62"/>
      <c r="J12" s="62"/>
      <c r="K12" s="62"/>
      <c r="L12" s="284"/>
      <c r="M12" s="284"/>
      <c r="N12" s="284"/>
      <c r="O12" s="284"/>
      <c r="P12" s="64"/>
      <c r="Q12" s="65"/>
      <c r="R12" s="66"/>
      <c r="S12" s="67">
        <v>0</v>
      </c>
      <c r="T12" s="67">
        <v>0</v>
      </c>
      <c r="U12" s="310">
        <f t="shared" si="2"/>
        <v>0</v>
      </c>
      <c r="V12" s="92"/>
      <c r="W12" s="66"/>
      <c r="X12" s="93"/>
      <c r="Y12" s="66"/>
      <c r="Z12" s="66"/>
      <c r="AA12" s="66"/>
      <c r="AB12" s="66"/>
      <c r="AC12" s="68"/>
      <c r="AD12" s="66"/>
      <c r="AE12" s="66"/>
      <c r="AF12" s="66"/>
      <c r="AG12" s="66"/>
      <c r="AH12" s="66"/>
      <c r="AI12" s="66"/>
      <c r="AJ12" s="66"/>
      <c r="AK12" s="66"/>
      <c r="AM12" s="734">
        <f t="shared" si="1"/>
        <v>0</v>
      </c>
      <c r="AN12" s="305" t="e">
        <f>IF(assumptions!$B$13='VHFA Use'!$C$86,LOOKUP(1,V12:AB12,$V$5:$AB$5),"N/A")</f>
        <v>#N/A</v>
      </c>
    </row>
    <row r="13" spans="1:40">
      <c r="A13" s="173"/>
      <c r="B13" s="61"/>
      <c r="C13" s="62"/>
      <c r="D13" s="62"/>
      <c r="E13" s="62"/>
      <c r="F13" s="62"/>
      <c r="G13" s="63"/>
      <c r="H13" s="62"/>
      <c r="I13" s="62"/>
      <c r="J13" s="62"/>
      <c r="K13" s="62"/>
      <c r="L13" s="284"/>
      <c r="M13" s="284"/>
      <c r="N13" s="284"/>
      <c r="O13" s="284"/>
      <c r="P13" s="64"/>
      <c r="Q13" s="65"/>
      <c r="R13" s="66"/>
      <c r="S13" s="67">
        <v>0</v>
      </c>
      <c r="T13" s="67">
        <v>0</v>
      </c>
      <c r="U13" s="310">
        <f t="shared" si="2"/>
        <v>0</v>
      </c>
      <c r="V13" s="92"/>
      <c r="W13" s="66"/>
      <c r="X13" s="93"/>
      <c r="Y13" s="66"/>
      <c r="Z13" s="66"/>
      <c r="AA13" s="66"/>
      <c r="AB13" s="66"/>
      <c r="AC13" s="68"/>
      <c r="AD13" s="66"/>
      <c r="AE13" s="66"/>
      <c r="AF13" s="66"/>
      <c r="AG13" s="66"/>
      <c r="AH13" s="66"/>
      <c r="AI13" s="66"/>
      <c r="AJ13" s="66"/>
      <c r="AK13" s="66"/>
      <c r="AM13" s="734">
        <f t="shared" si="1"/>
        <v>0</v>
      </c>
      <c r="AN13" s="305" t="e">
        <f>IF(assumptions!$B$13='VHFA Use'!$C$86,LOOKUP(1,V13:AB13,$V$5:$AB$5),"N/A")</f>
        <v>#N/A</v>
      </c>
    </row>
    <row r="14" spans="1:40">
      <c r="A14" s="173"/>
      <c r="B14" s="61"/>
      <c r="C14" s="62"/>
      <c r="D14" s="62"/>
      <c r="E14" s="62"/>
      <c r="F14" s="62"/>
      <c r="G14" s="63"/>
      <c r="H14" s="62"/>
      <c r="I14" s="62"/>
      <c r="J14" s="62"/>
      <c r="K14" s="62"/>
      <c r="L14" s="284"/>
      <c r="M14" s="284"/>
      <c r="N14" s="284"/>
      <c r="O14" s="284"/>
      <c r="P14" s="64"/>
      <c r="Q14" s="65"/>
      <c r="R14" s="66"/>
      <c r="S14" s="67">
        <v>0</v>
      </c>
      <c r="T14" s="67">
        <v>0</v>
      </c>
      <c r="U14" s="310">
        <f t="shared" si="2"/>
        <v>0</v>
      </c>
      <c r="V14" s="92"/>
      <c r="W14" s="66"/>
      <c r="X14" s="93"/>
      <c r="Y14" s="66"/>
      <c r="Z14" s="66"/>
      <c r="AA14" s="66"/>
      <c r="AB14" s="66"/>
      <c r="AC14" s="68"/>
      <c r="AD14" s="66"/>
      <c r="AE14" s="66"/>
      <c r="AF14" s="66"/>
      <c r="AG14" s="66"/>
      <c r="AH14" s="66"/>
      <c r="AI14" s="66"/>
      <c r="AJ14" s="66"/>
      <c r="AK14" s="66"/>
      <c r="AM14" s="734">
        <f t="shared" si="1"/>
        <v>0</v>
      </c>
      <c r="AN14" s="305" t="e">
        <f>IF(assumptions!$B$13='VHFA Use'!$C$86,LOOKUP(1,V14:AB14,$V$5:$AB$5),"N/A")</f>
        <v>#N/A</v>
      </c>
    </row>
    <row r="15" spans="1:40">
      <c r="A15" s="173"/>
      <c r="B15" s="61"/>
      <c r="C15" s="62"/>
      <c r="D15" s="62"/>
      <c r="E15" s="62"/>
      <c r="F15" s="62"/>
      <c r="G15" s="63"/>
      <c r="H15" s="62"/>
      <c r="I15" s="62"/>
      <c r="J15" s="62"/>
      <c r="K15" s="62"/>
      <c r="L15" s="284"/>
      <c r="M15" s="284"/>
      <c r="N15" s="284"/>
      <c r="O15" s="284"/>
      <c r="P15" s="64"/>
      <c r="Q15" s="65"/>
      <c r="R15" s="66"/>
      <c r="S15" s="67">
        <v>0</v>
      </c>
      <c r="T15" s="67">
        <v>0</v>
      </c>
      <c r="U15" s="310">
        <f t="shared" si="2"/>
        <v>0</v>
      </c>
      <c r="V15" s="92"/>
      <c r="W15" s="66"/>
      <c r="X15" s="93"/>
      <c r="Y15" s="66"/>
      <c r="Z15" s="66"/>
      <c r="AA15" s="66"/>
      <c r="AB15" s="66"/>
      <c r="AC15" s="68"/>
      <c r="AD15" s="66"/>
      <c r="AE15" s="66"/>
      <c r="AF15" s="66"/>
      <c r="AG15" s="66"/>
      <c r="AH15" s="66"/>
      <c r="AI15" s="66"/>
      <c r="AJ15" s="66"/>
      <c r="AK15" s="66"/>
      <c r="AM15" s="734">
        <f t="shared" si="1"/>
        <v>0</v>
      </c>
      <c r="AN15" s="305" t="e">
        <f>IF(assumptions!$B$13='VHFA Use'!$C$86,LOOKUP(1,V15:AB15,$V$5:$AB$5),"N/A")</f>
        <v>#N/A</v>
      </c>
    </row>
    <row r="16" spans="1:40">
      <c r="A16" s="173"/>
      <c r="B16" s="61"/>
      <c r="C16" s="62"/>
      <c r="D16" s="62"/>
      <c r="E16" s="62"/>
      <c r="F16" s="62"/>
      <c r="G16" s="63"/>
      <c r="H16" s="62"/>
      <c r="I16" s="62"/>
      <c r="J16" s="62"/>
      <c r="K16" s="62"/>
      <c r="L16" s="284"/>
      <c r="M16" s="284"/>
      <c r="N16" s="284"/>
      <c r="O16" s="284"/>
      <c r="P16" s="64"/>
      <c r="Q16" s="65"/>
      <c r="R16" s="66"/>
      <c r="S16" s="67">
        <v>0</v>
      </c>
      <c r="T16" s="67">
        <v>0</v>
      </c>
      <c r="U16" s="310">
        <f t="shared" si="2"/>
        <v>0</v>
      </c>
      <c r="V16" s="92"/>
      <c r="W16" s="66"/>
      <c r="X16" s="93"/>
      <c r="Y16" s="66"/>
      <c r="Z16" s="66"/>
      <c r="AA16" s="66"/>
      <c r="AB16" s="66"/>
      <c r="AC16" s="68"/>
      <c r="AD16" s="66"/>
      <c r="AE16" s="66"/>
      <c r="AF16" s="66"/>
      <c r="AG16" s="66"/>
      <c r="AH16" s="66"/>
      <c r="AI16" s="66"/>
      <c r="AJ16" s="66"/>
      <c r="AK16" s="66"/>
      <c r="AM16" s="734">
        <f t="shared" si="1"/>
        <v>0</v>
      </c>
      <c r="AN16" s="305" t="e">
        <f>IF(assumptions!$B$13='VHFA Use'!$C$86,LOOKUP(1,V16:AB16,$V$5:$AB$5),"N/A")</f>
        <v>#N/A</v>
      </c>
    </row>
    <row r="17" spans="1:40">
      <c r="A17" s="173"/>
      <c r="B17" s="61"/>
      <c r="C17" s="62"/>
      <c r="D17" s="62"/>
      <c r="E17" s="62"/>
      <c r="F17" s="62"/>
      <c r="G17" s="63"/>
      <c r="H17" s="62"/>
      <c r="I17" s="62"/>
      <c r="J17" s="62"/>
      <c r="K17" s="62"/>
      <c r="L17" s="284"/>
      <c r="M17" s="284"/>
      <c r="N17" s="284"/>
      <c r="O17" s="284"/>
      <c r="P17" s="64"/>
      <c r="Q17" s="65"/>
      <c r="R17" s="66"/>
      <c r="S17" s="67">
        <v>0</v>
      </c>
      <c r="T17" s="67">
        <v>0</v>
      </c>
      <c r="U17" s="310">
        <f t="shared" si="2"/>
        <v>0</v>
      </c>
      <c r="V17" s="92"/>
      <c r="W17" s="66"/>
      <c r="X17" s="93"/>
      <c r="Y17" s="66"/>
      <c r="Z17" s="66"/>
      <c r="AA17" s="66"/>
      <c r="AB17" s="66"/>
      <c r="AC17" s="68"/>
      <c r="AD17" s="66"/>
      <c r="AE17" s="66"/>
      <c r="AF17" s="66"/>
      <c r="AG17" s="66"/>
      <c r="AH17" s="66"/>
      <c r="AI17" s="66"/>
      <c r="AJ17" s="66"/>
      <c r="AK17" s="66"/>
      <c r="AM17" s="734">
        <f t="shared" si="1"/>
        <v>0</v>
      </c>
      <c r="AN17" s="305" t="e">
        <f>IF(assumptions!$B$13='VHFA Use'!$C$86,LOOKUP(1,V17:AB17,$V$5:$AB$5),"N/A")</f>
        <v>#N/A</v>
      </c>
    </row>
    <row r="18" spans="1:40">
      <c r="A18" s="173"/>
      <c r="B18" s="61"/>
      <c r="C18" s="62"/>
      <c r="D18" s="62"/>
      <c r="E18" s="62"/>
      <c r="F18" s="62"/>
      <c r="G18" s="63"/>
      <c r="H18" s="62"/>
      <c r="I18" s="62"/>
      <c r="J18" s="62"/>
      <c r="K18" s="62"/>
      <c r="L18" s="284"/>
      <c r="M18" s="284"/>
      <c r="N18" s="284"/>
      <c r="O18" s="284"/>
      <c r="P18" s="64"/>
      <c r="Q18" s="65"/>
      <c r="R18" s="66"/>
      <c r="S18" s="67">
        <v>0</v>
      </c>
      <c r="T18" s="67">
        <v>0</v>
      </c>
      <c r="U18" s="310">
        <f t="shared" ref="U18:U34" si="3">S18+T18</f>
        <v>0</v>
      </c>
      <c r="V18" s="92"/>
      <c r="W18" s="66"/>
      <c r="X18" s="93"/>
      <c r="Y18" s="66"/>
      <c r="Z18" s="66"/>
      <c r="AA18" s="66"/>
      <c r="AB18" s="66"/>
      <c r="AC18" s="68"/>
      <c r="AD18" s="66"/>
      <c r="AE18" s="66"/>
      <c r="AF18" s="66"/>
      <c r="AG18" s="66"/>
      <c r="AH18" s="66"/>
      <c r="AI18" s="66"/>
      <c r="AJ18" s="66"/>
      <c r="AK18" s="66"/>
      <c r="AM18" s="734">
        <f t="shared" si="1"/>
        <v>0</v>
      </c>
      <c r="AN18" s="305" t="e">
        <f>IF(assumptions!$B$13='VHFA Use'!$C$86,LOOKUP(1,V18:AB18,$V$5:$AB$5),"N/A")</f>
        <v>#N/A</v>
      </c>
    </row>
    <row r="19" spans="1:40">
      <c r="A19" s="173"/>
      <c r="B19" s="61"/>
      <c r="C19" s="62"/>
      <c r="D19" s="62"/>
      <c r="E19" s="62"/>
      <c r="F19" s="62"/>
      <c r="G19" s="63"/>
      <c r="H19" s="62"/>
      <c r="I19" s="62"/>
      <c r="J19" s="62"/>
      <c r="K19" s="62"/>
      <c r="L19" s="284"/>
      <c r="M19" s="284"/>
      <c r="N19" s="284"/>
      <c r="O19" s="284"/>
      <c r="P19" s="64"/>
      <c r="Q19" s="65"/>
      <c r="R19" s="66"/>
      <c r="S19" s="67">
        <v>0</v>
      </c>
      <c r="T19" s="67">
        <v>0</v>
      </c>
      <c r="U19" s="310">
        <f t="shared" si="3"/>
        <v>0</v>
      </c>
      <c r="V19" s="92"/>
      <c r="W19" s="66"/>
      <c r="X19" s="93"/>
      <c r="Y19" s="66"/>
      <c r="Z19" s="66"/>
      <c r="AA19" s="66"/>
      <c r="AB19" s="66"/>
      <c r="AC19" s="68"/>
      <c r="AD19" s="66"/>
      <c r="AE19" s="66"/>
      <c r="AF19" s="66"/>
      <c r="AG19" s="66"/>
      <c r="AH19" s="66"/>
      <c r="AI19" s="66"/>
      <c r="AJ19" s="66"/>
      <c r="AK19" s="66"/>
      <c r="AM19" s="734">
        <f t="shared" si="1"/>
        <v>0</v>
      </c>
      <c r="AN19" s="305" t="e">
        <f>IF(assumptions!$B$13='VHFA Use'!$C$86,LOOKUP(1,V19:AB19,$V$5:$AB$5),"N/A")</f>
        <v>#N/A</v>
      </c>
    </row>
    <row r="20" spans="1:40">
      <c r="A20" s="173"/>
      <c r="B20" s="61"/>
      <c r="C20" s="62"/>
      <c r="D20" s="62"/>
      <c r="E20" s="62"/>
      <c r="F20" s="62"/>
      <c r="G20" s="63"/>
      <c r="H20" s="62"/>
      <c r="I20" s="62"/>
      <c r="J20" s="62"/>
      <c r="K20" s="62"/>
      <c r="L20" s="284"/>
      <c r="M20" s="284"/>
      <c r="N20" s="284"/>
      <c r="O20" s="284"/>
      <c r="P20" s="64"/>
      <c r="Q20" s="65"/>
      <c r="R20" s="66"/>
      <c r="S20" s="67">
        <v>0</v>
      </c>
      <c r="T20" s="67">
        <v>0</v>
      </c>
      <c r="U20" s="310">
        <f t="shared" si="3"/>
        <v>0</v>
      </c>
      <c r="V20" s="92"/>
      <c r="W20" s="66"/>
      <c r="X20" s="93"/>
      <c r="Y20" s="66"/>
      <c r="Z20" s="66"/>
      <c r="AA20" s="66"/>
      <c r="AB20" s="66"/>
      <c r="AC20" s="68"/>
      <c r="AD20" s="66"/>
      <c r="AE20" s="66"/>
      <c r="AF20" s="66"/>
      <c r="AG20" s="66"/>
      <c r="AH20" s="66"/>
      <c r="AI20" s="66"/>
      <c r="AJ20" s="66"/>
      <c r="AK20" s="66"/>
      <c r="AM20" s="734">
        <f t="shared" si="1"/>
        <v>0</v>
      </c>
      <c r="AN20" s="305" t="e">
        <f>IF(assumptions!$B$13='VHFA Use'!$C$86,LOOKUP(1,V20:AB20,$V$5:$AB$5),"N/A")</f>
        <v>#N/A</v>
      </c>
    </row>
    <row r="21" spans="1:40">
      <c r="A21" s="173"/>
      <c r="B21" s="61"/>
      <c r="C21" s="62"/>
      <c r="D21" s="62"/>
      <c r="E21" s="62"/>
      <c r="F21" s="62"/>
      <c r="G21" s="63"/>
      <c r="H21" s="62"/>
      <c r="I21" s="62"/>
      <c r="J21" s="62"/>
      <c r="K21" s="62"/>
      <c r="L21" s="284"/>
      <c r="M21" s="284"/>
      <c r="N21" s="284"/>
      <c r="O21" s="284"/>
      <c r="P21" s="64"/>
      <c r="Q21" s="65"/>
      <c r="R21" s="66"/>
      <c r="S21" s="67">
        <v>0</v>
      </c>
      <c r="T21" s="67">
        <v>0</v>
      </c>
      <c r="U21" s="310">
        <f t="shared" si="3"/>
        <v>0</v>
      </c>
      <c r="V21" s="92"/>
      <c r="W21" s="66"/>
      <c r="X21" s="93"/>
      <c r="Y21" s="66"/>
      <c r="Z21" s="66"/>
      <c r="AA21" s="66"/>
      <c r="AB21" s="66"/>
      <c r="AC21" s="68"/>
      <c r="AD21" s="66"/>
      <c r="AE21" s="66"/>
      <c r="AF21" s="66"/>
      <c r="AG21" s="66"/>
      <c r="AH21" s="66"/>
      <c r="AI21" s="66"/>
      <c r="AJ21" s="66"/>
      <c r="AK21" s="66"/>
      <c r="AM21" s="734">
        <f t="shared" si="1"/>
        <v>0</v>
      </c>
      <c r="AN21" s="305" t="e">
        <f>IF(assumptions!$B$13='VHFA Use'!$C$86,LOOKUP(1,V21:AB21,$V$5:$AB$5),"N/A")</f>
        <v>#N/A</v>
      </c>
    </row>
    <row r="22" spans="1:40">
      <c r="A22" s="173"/>
      <c r="B22" s="61"/>
      <c r="C22" s="62"/>
      <c r="D22" s="62"/>
      <c r="E22" s="62"/>
      <c r="F22" s="62"/>
      <c r="G22" s="63"/>
      <c r="H22" s="62"/>
      <c r="I22" s="62"/>
      <c r="J22" s="62"/>
      <c r="K22" s="62"/>
      <c r="L22" s="284"/>
      <c r="M22" s="284"/>
      <c r="N22" s="284"/>
      <c r="O22" s="284"/>
      <c r="P22" s="64"/>
      <c r="Q22" s="65"/>
      <c r="R22" s="66"/>
      <c r="S22" s="67">
        <v>0</v>
      </c>
      <c r="T22" s="67">
        <v>0</v>
      </c>
      <c r="U22" s="310">
        <f t="shared" si="3"/>
        <v>0</v>
      </c>
      <c r="V22" s="92"/>
      <c r="W22" s="66"/>
      <c r="X22" s="93"/>
      <c r="Y22" s="66"/>
      <c r="Z22" s="66"/>
      <c r="AA22" s="66"/>
      <c r="AB22" s="66"/>
      <c r="AC22" s="68"/>
      <c r="AD22" s="66"/>
      <c r="AE22" s="66"/>
      <c r="AF22" s="66"/>
      <c r="AG22" s="66"/>
      <c r="AH22" s="66"/>
      <c r="AI22" s="66"/>
      <c r="AJ22" s="66"/>
      <c r="AK22" s="66"/>
      <c r="AM22" s="734">
        <f t="shared" si="1"/>
        <v>0</v>
      </c>
      <c r="AN22" s="305" t="e">
        <f>IF(assumptions!$B$13='VHFA Use'!$C$86,LOOKUP(1,V22:AB22,$V$5:$AB$5),"N/A")</f>
        <v>#N/A</v>
      </c>
    </row>
    <row r="23" spans="1:40">
      <c r="A23" s="173"/>
      <c r="B23" s="61"/>
      <c r="C23" s="62"/>
      <c r="D23" s="62"/>
      <c r="E23" s="62"/>
      <c r="F23" s="62"/>
      <c r="G23" s="63"/>
      <c r="H23" s="62"/>
      <c r="I23" s="62"/>
      <c r="J23" s="62"/>
      <c r="K23" s="62"/>
      <c r="L23" s="284"/>
      <c r="M23" s="284"/>
      <c r="N23" s="284"/>
      <c r="O23" s="284"/>
      <c r="P23" s="64"/>
      <c r="Q23" s="65"/>
      <c r="R23" s="66"/>
      <c r="S23" s="67">
        <v>0</v>
      </c>
      <c r="T23" s="67">
        <v>0</v>
      </c>
      <c r="U23" s="310">
        <f t="shared" si="3"/>
        <v>0</v>
      </c>
      <c r="V23" s="92"/>
      <c r="W23" s="66"/>
      <c r="X23" s="93"/>
      <c r="Y23" s="66"/>
      <c r="Z23" s="66"/>
      <c r="AA23" s="66"/>
      <c r="AB23" s="66"/>
      <c r="AC23" s="68"/>
      <c r="AD23" s="66"/>
      <c r="AE23" s="66"/>
      <c r="AF23" s="66"/>
      <c r="AG23" s="66"/>
      <c r="AH23" s="66"/>
      <c r="AI23" s="66"/>
      <c r="AJ23" s="66"/>
      <c r="AK23" s="66"/>
      <c r="AM23" s="734">
        <f t="shared" si="1"/>
        <v>0</v>
      </c>
      <c r="AN23" s="305" t="e">
        <f>IF(assumptions!$B$13='VHFA Use'!$C$86,LOOKUP(1,V23:AB23,$V$5:$AB$5),"N/A")</f>
        <v>#N/A</v>
      </c>
    </row>
    <row r="24" spans="1:40">
      <c r="A24" s="173"/>
      <c r="B24" s="61"/>
      <c r="C24" s="62"/>
      <c r="D24" s="62"/>
      <c r="E24" s="62"/>
      <c r="F24" s="62"/>
      <c r="G24" s="63"/>
      <c r="H24" s="62"/>
      <c r="I24" s="62"/>
      <c r="J24" s="62"/>
      <c r="K24" s="62"/>
      <c r="L24" s="284"/>
      <c r="M24" s="284"/>
      <c r="N24" s="284"/>
      <c r="O24" s="284"/>
      <c r="P24" s="64"/>
      <c r="Q24" s="65"/>
      <c r="R24" s="66"/>
      <c r="S24" s="67">
        <v>0</v>
      </c>
      <c r="T24" s="67">
        <v>0</v>
      </c>
      <c r="U24" s="310">
        <f t="shared" si="3"/>
        <v>0</v>
      </c>
      <c r="V24" s="92"/>
      <c r="W24" s="66"/>
      <c r="X24" s="93"/>
      <c r="Y24" s="66"/>
      <c r="Z24" s="66"/>
      <c r="AA24" s="66"/>
      <c r="AB24" s="66"/>
      <c r="AC24" s="68"/>
      <c r="AD24" s="66"/>
      <c r="AE24" s="66"/>
      <c r="AF24" s="66"/>
      <c r="AG24" s="66"/>
      <c r="AH24" s="66"/>
      <c r="AI24" s="66"/>
      <c r="AJ24" s="66"/>
      <c r="AK24" s="66"/>
      <c r="AM24" s="734">
        <f t="shared" si="1"/>
        <v>0</v>
      </c>
      <c r="AN24" s="305" t="e">
        <f>IF(assumptions!$B$13='VHFA Use'!$C$86,LOOKUP(1,V24:AB24,$V$5:$AB$5),"N/A")</f>
        <v>#N/A</v>
      </c>
    </row>
    <row r="25" spans="1:40">
      <c r="A25" s="173"/>
      <c r="B25" s="61"/>
      <c r="C25" s="62"/>
      <c r="D25" s="62"/>
      <c r="E25" s="62"/>
      <c r="F25" s="62"/>
      <c r="G25" s="63"/>
      <c r="H25" s="62"/>
      <c r="I25" s="62"/>
      <c r="J25" s="62"/>
      <c r="K25" s="62"/>
      <c r="L25" s="284"/>
      <c r="M25" s="284"/>
      <c r="N25" s="284"/>
      <c r="O25" s="284"/>
      <c r="P25" s="64"/>
      <c r="Q25" s="65"/>
      <c r="R25" s="66"/>
      <c r="S25" s="67">
        <v>0</v>
      </c>
      <c r="T25" s="67">
        <v>0</v>
      </c>
      <c r="U25" s="310">
        <f t="shared" si="3"/>
        <v>0</v>
      </c>
      <c r="V25" s="92"/>
      <c r="W25" s="66"/>
      <c r="X25" s="93"/>
      <c r="Y25" s="66"/>
      <c r="Z25" s="66"/>
      <c r="AA25" s="66"/>
      <c r="AB25" s="66"/>
      <c r="AC25" s="68"/>
      <c r="AD25" s="66"/>
      <c r="AE25" s="66"/>
      <c r="AF25" s="66"/>
      <c r="AG25" s="66"/>
      <c r="AH25" s="66"/>
      <c r="AI25" s="66"/>
      <c r="AJ25" s="66"/>
      <c r="AK25" s="66"/>
      <c r="AM25" s="734">
        <f t="shared" si="1"/>
        <v>0</v>
      </c>
      <c r="AN25" s="305" t="e">
        <f>IF(assumptions!$B$13='VHFA Use'!$C$86,LOOKUP(1,V25:AB25,$V$5:$AB$5),"N/A")</f>
        <v>#N/A</v>
      </c>
    </row>
    <row r="26" spans="1:40">
      <c r="A26" s="173"/>
      <c r="B26" s="61"/>
      <c r="C26" s="62"/>
      <c r="D26" s="62"/>
      <c r="E26" s="62"/>
      <c r="F26" s="62"/>
      <c r="G26" s="63"/>
      <c r="H26" s="62"/>
      <c r="I26" s="62"/>
      <c r="J26" s="62"/>
      <c r="K26" s="62"/>
      <c r="L26" s="284"/>
      <c r="M26" s="284"/>
      <c r="N26" s="284"/>
      <c r="O26" s="284"/>
      <c r="P26" s="64"/>
      <c r="Q26" s="65"/>
      <c r="R26" s="66"/>
      <c r="S26" s="67">
        <v>0</v>
      </c>
      <c r="T26" s="67">
        <v>0</v>
      </c>
      <c r="U26" s="310">
        <f t="shared" si="3"/>
        <v>0</v>
      </c>
      <c r="V26" s="92"/>
      <c r="W26" s="66"/>
      <c r="X26" s="93"/>
      <c r="Y26" s="66"/>
      <c r="Z26" s="66"/>
      <c r="AA26" s="66"/>
      <c r="AB26" s="66"/>
      <c r="AC26" s="68"/>
      <c r="AD26" s="66"/>
      <c r="AE26" s="66"/>
      <c r="AF26" s="66"/>
      <c r="AG26" s="66"/>
      <c r="AH26" s="66"/>
      <c r="AI26" s="66"/>
      <c r="AJ26" s="66"/>
      <c r="AK26" s="66"/>
      <c r="AM26" s="734">
        <f t="shared" si="1"/>
        <v>0</v>
      </c>
      <c r="AN26" s="305" t="e">
        <f>IF(assumptions!$B$13='VHFA Use'!$C$86,LOOKUP(1,V26:AB26,$V$5:$AB$5),"N/A")</f>
        <v>#N/A</v>
      </c>
    </row>
    <row r="27" spans="1:40">
      <c r="A27" s="173"/>
      <c r="B27" s="61"/>
      <c r="C27" s="62"/>
      <c r="D27" s="62"/>
      <c r="E27" s="62"/>
      <c r="F27" s="62"/>
      <c r="G27" s="63"/>
      <c r="H27" s="62"/>
      <c r="I27" s="62"/>
      <c r="J27" s="62"/>
      <c r="K27" s="62"/>
      <c r="L27" s="284"/>
      <c r="M27" s="284"/>
      <c r="N27" s="284"/>
      <c r="O27" s="284"/>
      <c r="P27" s="64"/>
      <c r="Q27" s="65"/>
      <c r="R27" s="66"/>
      <c r="S27" s="67">
        <v>0</v>
      </c>
      <c r="T27" s="67">
        <v>0</v>
      </c>
      <c r="U27" s="310">
        <f t="shared" si="3"/>
        <v>0</v>
      </c>
      <c r="V27" s="92"/>
      <c r="W27" s="66"/>
      <c r="X27" s="93"/>
      <c r="Y27" s="66"/>
      <c r="Z27" s="66"/>
      <c r="AA27" s="66"/>
      <c r="AB27" s="66"/>
      <c r="AC27" s="68"/>
      <c r="AD27" s="66"/>
      <c r="AE27" s="66"/>
      <c r="AF27" s="66"/>
      <c r="AG27" s="66"/>
      <c r="AH27" s="66"/>
      <c r="AI27" s="66"/>
      <c r="AJ27" s="66"/>
      <c r="AK27" s="66"/>
      <c r="AM27" s="734">
        <f t="shared" si="1"/>
        <v>0</v>
      </c>
      <c r="AN27" s="305" t="e">
        <f>IF(assumptions!$B$13='VHFA Use'!$C$86,LOOKUP(1,V27:AB27,$V$5:$AB$5),"N/A")</f>
        <v>#N/A</v>
      </c>
    </row>
    <row r="28" spans="1:40">
      <c r="A28" s="173"/>
      <c r="B28" s="61"/>
      <c r="C28" s="62"/>
      <c r="D28" s="62"/>
      <c r="E28" s="62"/>
      <c r="F28" s="62"/>
      <c r="G28" s="63"/>
      <c r="H28" s="62"/>
      <c r="I28" s="62"/>
      <c r="J28" s="62"/>
      <c r="K28" s="62"/>
      <c r="L28" s="284"/>
      <c r="M28" s="284"/>
      <c r="N28" s="284"/>
      <c r="O28" s="284"/>
      <c r="P28" s="64"/>
      <c r="Q28" s="65"/>
      <c r="R28" s="66"/>
      <c r="S28" s="67">
        <v>0</v>
      </c>
      <c r="T28" s="67">
        <v>0</v>
      </c>
      <c r="U28" s="310">
        <f t="shared" si="3"/>
        <v>0</v>
      </c>
      <c r="V28" s="92"/>
      <c r="W28" s="66"/>
      <c r="X28" s="93"/>
      <c r="Y28" s="66"/>
      <c r="Z28" s="66"/>
      <c r="AA28" s="66"/>
      <c r="AB28" s="66"/>
      <c r="AC28" s="68"/>
      <c r="AD28" s="66"/>
      <c r="AE28" s="66"/>
      <c r="AF28" s="66"/>
      <c r="AG28" s="66"/>
      <c r="AH28" s="66"/>
      <c r="AI28" s="66"/>
      <c r="AJ28" s="66"/>
      <c r="AK28" s="66"/>
      <c r="AM28" s="734">
        <f t="shared" si="1"/>
        <v>0</v>
      </c>
      <c r="AN28" s="305" t="e">
        <f>IF(assumptions!$B$13='VHFA Use'!$C$86,LOOKUP(1,V28:AB28,$V$5:$AB$5),"N/A")</f>
        <v>#N/A</v>
      </c>
    </row>
    <row r="29" spans="1:40">
      <c r="A29" s="173"/>
      <c r="B29" s="61"/>
      <c r="C29" s="62"/>
      <c r="D29" s="62"/>
      <c r="E29" s="62"/>
      <c r="F29" s="62"/>
      <c r="G29" s="63"/>
      <c r="H29" s="62"/>
      <c r="I29" s="62"/>
      <c r="J29" s="62"/>
      <c r="K29" s="62"/>
      <c r="L29" s="284"/>
      <c r="M29" s="284"/>
      <c r="N29" s="284"/>
      <c r="O29" s="284"/>
      <c r="P29" s="64"/>
      <c r="Q29" s="65"/>
      <c r="R29" s="66"/>
      <c r="S29" s="67">
        <v>0</v>
      </c>
      <c r="T29" s="67">
        <v>0</v>
      </c>
      <c r="U29" s="310">
        <f t="shared" si="3"/>
        <v>0</v>
      </c>
      <c r="V29" s="92"/>
      <c r="W29" s="66"/>
      <c r="X29" s="93"/>
      <c r="Y29" s="66"/>
      <c r="Z29" s="66"/>
      <c r="AA29" s="66"/>
      <c r="AB29" s="66"/>
      <c r="AC29" s="68"/>
      <c r="AD29" s="66"/>
      <c r="AE29" s="66"/>
      <c r="AF29" s="66"/>
      <c r="AG29" s="66"/>
      <c r="AH29" s="66"/>
      <c r="AI29" s="66"/>
      <c r="AJ29" s="66"/>
      <c r="AK29" s="66"/>
      <c r="AM29" s="734">
        <f t="shared" si="1"/>
        <v>0</v>
      </c>
      <c r="AN29" s="305" t="e">
        <f>IF(assumptions!$B$13='VHFA Use'!$C$86,LOOKUP(1,V29:AB29,$V$5:$AB$5),"N/A")</f>
        <v>#N/A</v>
      </c>
    </row>
    <row r="30" spans="1:40">
      <c r="A30" s="173"/>
      <c r="B30" s="61"/>
      <c r="C30" s="62"/>
      <c r="D30" s="62"/>
      <c r="E30" s="62"/>
      <c r="F30" s="62"/>
      <c r="G30" s="63"/>
      <c r="H30" s="62"/>
      <c r="I30" s="62"/>
      <c r="J30" s="62"/>
      <c r="K30" s="62"/>
      <c r="L30" s="284"/>
      <c r="M30" s="284"/>
      <c r="N30" s="284"/>
      <c r="O30" s="284"/>
      <c r="P30" s="64"/>
      <c r="Q30" s="65"/>
      <c r="R30" s="66"/>
      <c r="S30" s="67">
        <v>0</v>
      </c>
      <c r="T30" s="67">
        <v>0</v>
      </c>
      <c r="U30" s="310">
        <f t="shared" si="3"/>
        <v>0</v>
      </c>
      <c r="V30" s="92"/>
      <c r="W30" s="66"/>
      <c r="X30" s="93"/>
      <c r="Y30" s="66"/>
      <c r="Z30" s="66"/>
      <c r="AA30" s="66"/>
      <c r="AB30" s="66"/>
      <c r="AC30" s="68"/>
      <c r="AD30" s="66"/>
      <c r="AE30" s="66"/>
      <c r="AF30" s="66"/>
      <c r="AG30" s="66"/>
      <c r="AH30" s="66"/>
      <c r="AI30" s="66"/>
      <c r="AJ30" s="66"/>
      <c r="AK30" s="66"/>
      <c r="AM30" s="734">
        <f t="shared" si="1"/>
        <v>0</v>
      </c>
      <c r="AN30" s="305" t="e">
        <f>IF(assumptions!$B$13='VHFA Use'!$C$86,LOOKUP(1,V30:AB30,$V$5:$AB$5),"N/A")</f>
        <v>#N/A</v>
      </c>
    </row>
    <row r="31" spans="1:40">
      <c r="A31" s="173"/>
      <c r="B31" s="61"/>
      <c r="C31" s="62"/>
      <c r="D31" s="62"/>
      <c r="E31" s="62"/>
      <c r="F31" s="62"/>
      <c r="G31" s="63"/>
      <c r="H31" s="62"/>
      <c r="I31" s="62"/>
      <c r="J31" s="62"/>
      <c r="K31" s="62"/>
      <c r="L31" s="284"/>
      <c r="M31" s="284"/>
      <c r="N31" s="284"/>
      <c r="O31" s="284"/>
      <c r="P31" s="64"/>
      <c r="Q31" s="65"/>
      <c r="R31" s="66"/>
      <c r="S31" s="67">
        <v>0</v>
      </c>
      <c r="T31" s="67">
        <v>0</v>
      </c>
      <c r="U31" s="310">
        <f t="shared" si="3"/>
        <v>0</v>
      </c>
      <c r="V31" s="92"/>
      <c r="W31" s="66"/>
      <c r="X31" s="93"/>
      <c r="Y31" s="66"/>
      <c r="Z31" s="66"/>
      <c r="AA31" s="66"/>
      <c r="AB31" s="66"/>
      <c r="AC31" s="68"/>
      <c r="AD31" s="66"/>
      <c r="AE31" s="66"/>
      <c r="AF31" s="66"/>
      <c r="AG31" s="66"/>
      <c r="AH31" s="66"/>
      <c r="AI31" s="66"/>
      <c r="AJ31" s="66"/>
      <c r="AK31" s="66"/>
      <c r="AM31" s="734">
        <f t="shared" si="1"/>
        <v>0</v>
      </c>
      <c r="AN31" s="305" t="e">
        <f>IF(assumptions!$B$13='VHFA Use'!$C$86,LOOKUP(1,V31:AB31,$V$5:$AB$5),"N/A")</f>
        <v>#N/A</v>
      </c>
    </row>
    <row r="32" spans="1:40">
      <c r="A32" s="173"/>
      <c r="B32" s="61"/>
      <c r="C32" s="62"/>
      <c r="D32" s="62"/>
      <c r="E32" s="62"/>
      <c r="F32" s="62"/>
      <c r="G32" s="63"/>
      <c r="H32" s="62"/>
      <c r="I32" s="62"/>
      <c r="J32" s="62"/>
      <c r="K32" s="62"/>
      <c r="L32" s="284"/>
      <c r="M32" s="284"/>
      <c r="N32" s="284"/>
      <c r="O32" s="284"/>
      <c r="P32" s="64"/>
      <c r="Q32" s="65"/>
      <c r="R32" s="66"/>
      <c r="S32" s="67">
        <v>0</v>
      </c>
      <c r="T32" s="67">
        <v>0</v>
      </c>
      <c r="U32" s="310">
        <f t="shared" si="3"/>
        <v>0</v>
      </c>
      <c r="V32" s="92"/>
      <c r="W32" s="66"/>
      <c r="X32" s="93"/>
      <c r="Y32" s="66"/>
      <c r="Z32" s="66"/>
      <c r="AA32" s="66"/>
      <c r="AB32" s="66"/>
      <c r="AC32" s="68"/>
      <c r="AD32" s="66"/>
      <c r="AE32" s="66"/>
      <c r="AF32" s="66"/>
      <c r="AG32" s="66"/>
      <c r="AH32" s="66"/>
      <c r="AI32" s="66"/>
      <c r="AJ32" s="66"/>
      <c r="AK32" s="66"/>
      <c r="AM32" s="734">
        <f t="shared" si="1"/>
        <v>0</v>
      </c>
      <c r="AN32" s="305" t="e">
        <f>IF(assumptions!$B$13='VHFA Use'!$C$86,LOOKUP(1,V32:AB32,$V$5:$AB$5),"N/A")</f>
        <v>#N/A</v>
      </c>
    </row>
    <row r="33" spans="1:40">
      <c r="A33" s="173"/>
      <c r="B33" s="61"/>
      <c r="C33" s="62"/>
      <c r="D33" s="62"/>
      <c r="E33" s="62"/>
      <c r="F33" s="62"/>
      <c r="G33" s="63"/>
      <c r="H33" s="62"/>
      <c r="I33" s="62"/>
      <c r="J33" s="62"/>
      <c r="K33" s="62"/>
      <c r="L33" s="284"/>
      <c r="M33" s="284"/>
      <c r="N33" s="284"/>
      <c r="O33" s="284"/>
      <c r="P33" s="64"/>
      <c r="Q33" s="65"/>
      <c r="R33" s="66"/>
      <c r="S33" s="67">
        <v>0</v>
      </c>
      <c r="T33" s="67">
        <v>0</v>
      </c>
      <c r="U33" s="310">
        <f t="shared" si="3"/>
        <v>0</v>
      </c>
      <c r="V33" s="92"/>
      <c r="W33" s="66"/>
      <c r="X33" s="93"/>
      <c r="Y33" s="66"/>
      <c r="Z33" s="66"/>
      <c r="AA33" s="66"/>
      <c r="AB33" s="66"/>
      <c r="AC33" s="68"/>
      <c r="AD33" s="66"/>
      <c r="AE33" s="66"/>
      <c r="AF33" s="66"/>
      <c r="AG33" s="66"/>
      <c r="AH33" s="66"/>
      <c r="AI33" s="66"/>
      <c r="AJ33" s="66"/>
      <c r="AK33" s="66"/>
      <c r="AM33" s="734">
        <f t="shared" si="1"/>
        <v>0</v>
      </c>
      <c r="AN33" s="305" t="e">
        <f>IF(assumptions!$B$13='VHFA Use'!$C$86,LOOKUP(1,V33:AB33,$V$5:$AB$5),"N/A")</f>
        <v>#N/A</v>
      </c>
    </row>
    <row r="34" spans="1:40">
      <c r="A34" s="173"/>
      <c r="B34" s="61"/>
      <c r="C34" s="62"/>
      <c r="D34" s="62"/>
      <c r="E34" s="62"/>
      <c r="F34" s="62"/>
      <c r="G34" s="63"/>
      <c r="H34" s="62"/>
      <c r="I34" s="62"/>
      <c r="J34" s="62"/>
      <c r="K34" s="62"/>
      <c r="L34" s="284"/>
      <c r="M34" s="284"/>
      <c r="N34" s="284"/>
      <c r="O34" s="284"/>
      <c r="P34" s="64"/>
      <c r="Q34" s="65"/>
      <c r="R34" s="66"/>
      <c r="S34" s="67">
        <v>0</v>
      </c>
      <c r="T34" s="67">
        <v>0</v>
      </c>
      <c r="U34" s="310">
        <f t="shared" si="3"/>
        <v>0</v>
      </c>
      <c r="V34" s="92"/>
      <c r="W34" s="66"/>
      <c r="X34" s="93"/>
      <c r="Y34" s="66"/>
      <c r="Z34" s="66"/>
      <c r="AA34" s="66"/>
      <c r="AB34" s="66"/>
      <c r="AC34" s="68"/>
      <c r="AD34" s="66"/>
      <c r="AE34" s="66"/>
      <c r="AF34" s="66"/>
      <c r="AG34" s="66"/>
      <c r="AH34" s="66"/>
      <c r="AI34" s="66"/>
      <c r="AJ34" s="66"/>
      <c r="AK34" s="66"/>
      <c r="AM34" s="734">
        <f t="shared" si="1"/>
        <v>0</v>
      </c>
      <c r="AN34" s="305" t="e">
        <f>IF(assumptions!$B$13='VHFA Use'!$C$86,LOOKUP(1,V34:AB34,$V$5:$AB$5),"N/A")</f>
        <v>#N/A</v>
      </c>
    </row>
    <row r="35" spans="1:40">
      <c r="A35" s="173"/>
      <c r="B35" s="61"/>
      <c r="C35" s="62"/>
      <c r="D35" s="62"/>
      <c r="E35" s="62"/>
      <c r="F35" s="62"/>
      <c r="G35" s="63"/>
      <c r="H35" s="62"/>
      <c r="I35" s="62"/>
      <c r="J35" s="62"/>
      <c r="K35" s="62"/>
      <c r="L35" s="284"/>
      <c r="M35" s="284"/>
      <c r="N35" s="284"/>
      <c r="O35" s="284"/>
      <c r="P35" s="64"/>
      <c r="Q35" s="65"/>
      <c r="R35" s="66"/>
      <c r="S35" s="67">
        <v>0</v>
      </c>
      <c r="T35" s="67">
        <v>0</v>
      </c>
      <c r="U35" s="310">
        <f t="shared" si="2"/>
        <v>0</v>
      </c>
      <c r="V35" s="92"/>
      <c r="W35" s="66"/>
      <c r="X35" s="93"/>
      <c r="Y35" s="66"/>
      <c r="Z35" s="66"/>
      <c r="AA35" s="66"/>
      <c r="AB35" s="66"/>
      <c r="AC35" s="68"/>
      <c r="AD35" s="66"/>
      <c r="AE35" s="66"/>
      <c r="AF35" s="66"/>
      <c r="AG35" s="66"/>
      <c r="AH35" s="66"/>
      <c r="AI35" s="66"/>
      <c r="AJ35" s="66"/>
      <c r="AK35" s="66"/>
      <c r="AM35" s="734">
        <f t="shared" si="1"/>
        <v>0</v>
      </c>
      <c r="AN35" s="305" t="e">
        <f>IF(assumptions!$B$13='VHFA Use'!$C$86,LOOKUP(1,V35:AB35,$V$5:$AB$5),"N/A")</f>
        <v>#N/A</v>
      </c>
    </row>
    <row r="36" spans="1:40">
      <c r="A36" s="173"/>
      <c r="B36" s="61"/>
      <c r="C36" s="62"/>
      <c r="D36" s="62"/>
      <c r="E36" s="62"/>
      <c r="F36" s="62"/>
      <c r="G36" s="63"/>
      <c r="H36" s="62"/>
      <c r="I36" s="62"/>
      <c r="J36" s="62"/>
      <c r="K36" s="62"/>
      <c r="L36" s="284"/>
      <c r="M36" s="284"/>
      <c r="N36" s="284"/>
      <c r="O36" s="284"/>
      <c r="P36" s="64"/>
      <c r="Q36" s="65"/>
      <c r="R36" s="66"/>
      <c r="S36" s="67">
        <v>0</v>
      </c>
      <c r="T36" s="67">
        <v>0</v>
      </c>
      <c r="U36" s="310">
        <f t="shared" si="2"/>
        <v>0</v>
      </c>
      <c r="V36" s="92"/>
      <c r="W36" s="66"/>
      <c r="X36" s="93"/>
      <c r="Y36" s="66"/>
      <c r="Z36" s="66"/>
      <c r="AA36" s="66"/>
      <c r="AB36" s="66"/>
      <c r="AC36" s="68"/>
      <c r="AD36" s="66"/>
      <c r="AE36" s="66"/>
      <c r="AF36" s="66"/>
      <c r="AG36" s="66"/>
      <c r="AH36" s="66"/>
      <c r="AI36" s="66"/>
      <c r="AJ36" s="66"/>
      <c r="AK36" s="66"/>
      <c r="AM36" s="734">
        <f t="shared" si="1"/>
        <v>0</v>
      </c>
      <c r="AN36" s="305" t="e">
        <f>IF(assumptions!$B$13='VHFA Use'!$C$86,LOOKUP(1,V36:AB36,$V$5:$AB$5),"N/A")</f>
        <v>#N/A</v>
      </c>
    </row>
    <row r="37" spans="1:40">
      <c r="A37" s="173"/>
      <c r="B37" s="61"/>
      <c r="C37" s="62"/>
      <c r="D37" s="62"/>
      <c r="E37" s="62"/>
      <c r="F37" s="62"/>
      <c r="G37" s="63"/>
      <c r="H37" s="62"/>
      <c r="I37" s="62"/>
      <c r="J37" s="62"/>
      <c r="K37" s="62"/>
      <c r="L37" s="284"/>
      <c r="M37" s="284"/>
      <c r="N37" s="284"/>
      <c r="O37" s="284"/>
      <c r="P37" s="64"/>
      <c r="Q37" s="65"/>
      <c r="R37" s="66"/>
      <c r="S37" s="67">
        <v>0</v>
      </c>
      <c r="T37" s="67">
        <v>0</v>
      </c>
      <c r="U37" s="310">
        <f t="shared" si="2"/>
        <v>0</v>
      </c>
      <c r="V37" s="92"/>
      <c r="W37" s="66"/>
      <c r="X37" s="93"/>
      <c r="Y37" s="66"/>
      <c r="Z37" s="66"/>
      <c r="AA37" s="66"/>
      <c r="AB37" s="66"/>
      <c r="AC37" s="68"/>
      <c r="AD37" s="66"/>
      <c r="AE37" s="66"/>
      <c r="AF37" s="66"/>
      <c r="AG37" s="66"/>
      <c r="AH37" s="66"/>
      <c r="AI37" s="66"/>
      <c r="AJ37" s="66"/>
      <c r="AK37" s="66"/>
      <c r="AM37" s="734">
        <f t="shared" si="1"/>
        <v>0</v>
      </c>
      <c r="AN37" s="305" t="e">
        <f>IF(assumptions!$B$13='VHFA Use'!$C$86,LOOKUP(1,V37:AB37,$V$5:$AB$5),"N/A")</f>
        <v>#N/A</v>
      </c>
    </row>
    <row r="38" spans="1:40">
      <c r="A38" s="173"/>
      <c r="B38" s="61"/>
      <c r="C38" s="62"/>
      <c r="D38" s="62"/>
      <c r="E38" s="62"/>
      <c r="F38" s="62"/>
      <c r="G38" s="63"/>
      <c r="H38" s="62"/>
      <c r="I38" s="62"/>
      <c r="J38" s="62"/>
      <c r="K38" s="62"/>
      <c r="L38" s="284"/>
      <c r="M38" s="284"/>
      <c r="N38" s="284"/>
      <c r="O38" s="284"/>
      <c r="P38" s="64"/>
      <c r="Q38" s="65"/>
      <c r="R38" s="66"/>
      <c r="S38" s="67">
        <v>0</v>
      </c>
      <c r="T38" s="67">
        <v>0</v>
      </c>
      <c r="U38" s="310">
        <f t="shared" si="2"/>
        <v>0</v>
      </c>
      <c r="V38" s="92"/>
      <c r="W38" s="66"/>
      <c r="X38" s="93"/>
      <c r="Y38" s="66"/>
      <c r="Z38" s="66"/>
      <c r="AA38" s="66"/>
      <c r="AB38" s="66"/>
      <c r="AC38" s="68"/>
      <c r="AD38" s="66"/>
      <c r="AE38" s="66"/>
      <c r="AF38" s="66"/>
      <c r="AG38" s="66"/>
      <c r="AH38" s="66"/>
      <c r="AI38" s="66"/>
      <c r="AJ38" s="66"/>
      <c r="AK38" s="66"/>
      <c r="AM38" s="734">
        <f t="shared" ref="AM38:AM69" si="4">G38*R38</f>
        <v>0</v>
      </c>
      <c r="AN38" s="305" t="e">
        <f>IF(assumptions!$B$13='VHFA Use'!$C$86,LOOKUP(1,V38:AB38,$V$5:$AB$5),"N/A")</f>
        <v>#N/A</v>
      </c>
    </row>
    <row r="39" spans="1:40">
      <c r="A39" s="173"/>
      <c r="B39" s="61"/>
      <c r="C39" s="62"/>
      <c r="D39" s="62"/>
      <c r="E39" s="62"/>
      <c r="F39" s="62"/>
      <c r="G39" s="63"/>
      <c r="H39" s="62"/>
      <c r="I39" s="62"/>
      <c r="J39" s="62"/>
      <c r="K39" s="62"/>
      <c r="L39" s="284"/>
      <c r="M39" s="284"/>
      <c r="N39" s="284"/>
      <c r="O39" s="284"/>
      <c r="P39" s="64"/>
      <c r="Q39" s="65"/>
      <c r="R39" s="66"/>
      <c r="S39" s="67">
        <v>0</v>
      </c>
      <c r="T39" s="67">
        <v>0</v>
      </c>
      <c r="U39" s="310">
        <f t="shared" si="2"/>
        <v>0</v>
      </c>
      <c r="V39" s="92"/>
      <c r="W39" s="66"/>
      <c r="X39" s="93"/>
      <c r="Y39" s="66"/>
      <c r="Z39" s="66"/>
      <c r="AA39" s="66"/>
      <c r="AB39" s="66"/>
      <c r="AC39" s="68"/>
      <c r="AD39" s="66"/>
      <c r="AE39" s="66"/>
      <c r="AF39" s="66"/>
      <c r="AG39" s="66"/>
      <c r="AH39" s="66"/>
      <c r="AI39" s="66"/>
      <c r="AJ39" s="66"/>
      <c r="AK39" s="66"/>
      <c r="AM39" s="734">
        <f t="shared" si="4"/>
        <v>0</v>
      </c>
      <c r="AN39" s="305" t="e">
        <f>IF(assumptions!$B$13='VHFA Use'!$C$86,LOOKUP(1,V39:AB39,$V$5:$AB$5),"N/A")</f>
        <v>#N/A</v>
      </c>
    </row>
    <row r="40" spans="1:40">
      <c r="A40" s="173"/>
      <c r="B40" s="61"/>
      <c r="C40" s="62"/>
      <c r="D40" s="62"/>
      <c r="E40" s="62"/>
      <c r="F40" s="62"/>
      <c r="G40" s="63"/>
      <c r="H40" s="62"/>
      <c r="I40" s="62"/>
      <c r="J40" s="62"/>
      <c r="K40" s="62"/>
      <c r="L40" s="284"/>
      <c r="M40" s="284"/>
      <c r="N40" s="284"/>
      <c r="O40" s="284"/>
      <c r="P40" s="64"/>
      <c r="Q40" s="65"/>
      <c r="R40" s="66"/>
      <c r="S40" s="67">
        <v>0</v>
      </c>
      <c r="T40" s="67">
        <v>0</v>
      </c>
      <c r="U40" s="310">
        <f>S40+T40</f>
        <v>0</v>
      </c>
      <c r="V40" s="92"/>
      <c r="W40" s="66"/>
      <c r="X40" s="93"/>
      <c r="Y40" s="66"/>
      <c r="Z40" s="66"/>
      <c r="AA40" s="66"/>
      <c r="AB40" s="66"/>
      <c r="AC40" s="68"/>
      <c r="AD40" s="66"/>
      <c r="AE40" s="66"/>
      <c r="AF40" s="66"/>
      <c r="AG40" s="66"/>
      <c r="AH40" s="66"/>
      <c r="AI40" s="66"/>
      <c r="AJ40" s="66"/>
      <c r="AK40" s="66"/>
      <c r="AM40" s="734">
        <f t="shared" si="4"/>
        <v>0</v>
      </c>
      <c r="AN40" s="305" t="e">
        <f>IF(assumptions!$B$13='VHFA Use'!$C$86,LOOKUP(1,V40:AB40,$V$5:$AB$5),"N/A")</f>
        <v>#N/A</v>
      </c>
    </row>
    <row r="41" spans="1:40">
      <c r="A41" s="173"/>
      <c r="B41" s="61"/>
      <c r="C41" s="62"/>
      <c r="D41" s="62"/>
      <c r="E41" s="62"/>
      <c r="F41" s="62"/>
      <c r="G41" s="63"/>
      <c r="H41" s="62"/>
      <c r="I41" s="62"/>
      <c r="J41" s="62"/>
      <c r="K41" s="62"/>
      <c r="L41" s="284"/>
      <c r="M41" s="284"/>
      <c r="N41" s="284"/>
      <c r="O41" s="284"/>
      <c r="P41" s="64"/>
      <c r="Q41" s="65"/>
      <c r="R41" s="66"/>
      <c r="S41" s="67">
        <v>0</v>
      </c>
      <c r="T41" s="67">
        <v>0</v>
      </c>
      <c r="U41" s="310">
        <f t="shared" si="2"/>
        <v>0</v>
      </c>
      <c r="V41" s="92"/>
      <c r="W41" s="66"/>
      <c r="X41" s="93"/>
      <c r="Y41" s="66"/>
      <c r="Z41" s="66"/>
      <c r="AA41" s="66"/>
      <c r="AB41" s="66"/>
      <c r="AC41" s="68"/>
      <c r="AD41" s="66"/>
      <c r="AE41" s="66"/>
      <c r="AF41" s="66"/>
      <c r="AG41" s="66"/>
      <c r="AH41" s="66"/>
      <c r="AI41" s="66"/>
      <c r="AJ41" s="66"/>
      <c r="AK41" s="66"/>
      <c r="AM41" s="734">
        <f t="shared" si="4"/>
        <v>0</v>
      </c>
      <c r="AN41" s="305" t="e">
        <f>IF(assumptions!$B$13='VHFA Use'!$C$86,LOOKUP(1,V41:AB41,$V$5:$AB$5),"N/A")</f>
        <v>#N/A</v>
      </c>
    </row>
    <row r="42" spans="1:40">
      <c r="A42" s="173"/>
      <c r="B42" s="61"/>
      <c r="C42" s="62"/>
      <c r="D42" s="62"/>
      <c r="E42" s="62"/>
      <c r="F42" s="62"/>
      <c r="G42" s="63"/>
      <c r="H42" s="62"/>
      <c r="I42" s="62"/>
      <c r="J42" s="62"/>
      <c r="K42" s="62"/>
      <c r="L42" s="284"/>
      <c r="M42" s="284"/>
      <c r="N42" s="284"/>
      <c r="O42" s="284"/>
      <c r="P42" s="64"/>
      <c r="Q42" s="65"/>
      <c r="R42" s="66"/>
      <c r="S42" s="67">
        <v>0</v>
      </c>
      <c r="T42" s="67">
        <v>0</v>
      </c>
      <c r="U42" s="310">
        <f t="shared" si="2"/>
        <v>0</v>
      </c>
      <c r="V42" s="92"/>
      <c r="W42" s="66"/>
      <c r="X42" s="93"/>
      <c r="Y42" s="66"/>
      <c r="Z42" s="66"/>
      <c r="AA42" s="66"/>
      <c r="AB42" s="66"/>
      <c r="AC42" s="68"/>
      <c r="AD42" s="66"/>
      <c r="AE42" s="66"/>
      <c r="AF42" s="66"/>
      <c r="AG42" s="66"/>
      <c r="AH42" s="66"/>
      <c r="AI42" s="66"/>
      <c r="AJ42" s="66"/>
      <c r="AK42" s="66"/>
      <c r="AM42" s="734">
        <f t="shared" si="4"/>
        <v>0</v>
      </c>
      <c r="AN42" s="305" t="e">
        <f>IF(assumptions!$B$13='VHFA Use'!$C$86,LOOKUP(1,V42:AB42,$V$5:$AB$5),"N/A")</f>
        <v>#N/A</v>
      </c>
    </row>
    <row r="43" spans="1:40">
      <c r="A43" s="173"/>
      <c r="B43" s="61"/>
      <c r="C43" s="62"/>
      <c r="D43" s="62"/>
      <c r="E43" s="62"/>
      <c r="F43" s="62"/>
      <c r="G43" s="63"/>
      <c r="H43" s="62"/>
      <c r="I43" s="62"/>
      <c r="J43" s="62"/>
      <c r="K43" s="62"/>
      <c r="L43" s="284"/>
      <c r="M43" s="284"/>
      <c r="N43" s="284"/>
      <c r="O43" s="284"/>
      <c r="P43" s="64"/>
      <c r="Q43" s="65"/>
      <c r="R43" s="66"/>
      <c r="S43" s="67">
        <v>0</v>
      </c>
      <c r="T43" s="67">
        <v>0</v>
      </c>
      <c r="U43" s="310">
        <f t="shared" si="2"/>
        <v>0</v>
      </c>
      <c r="V43" s="92"/>
      <c r="W43" s="66"/>
      <c r="X43" s="93"/>
      <c r="Y43" s="66"/>
      <c r="Z43" s="66"/>
      <c r="AA43" s="66"/>
      <c r="AB43" s="66"/>
      <c r="AC43" s="68"/>
      <c r="AD43" s="66"/>
      <c r="AE43" s="66"/>
      <c r="AF43" s="66"/>
      <c r="AG43" s="66"/>
      <c r="AH43" s="66"/>
      <c r="AI43" s="66"/>
      <c r="AJ43" s="66"/>
      <c r="AK43" s="66"/>
      <c r="AM43" s="734">
        <f t="shared" si="4"/>
        <v>0</v>
      </c>
      <c r="AN43" s="305" t="e">
        <f>IF(assumptions!$B$13='VHFA Use'!$C$86,LOOKUP(1,V43:AB43,$V$5:$AB$5),"N/A")</f>
        <v>#N/A</v>
      </c>
    </row>
    <row r="44" spans="1:40">
      <c r="A44" s="173"/>
      <c r="B44" s="61"/>
      <c r="C44" s="62"/>
      <c r="D44" s="62"/>
      <c r="E44" s="62"/>
      <c r="F44" s="62"/>
      <c r="G44" s="63"/>
      <c r="H44" s="62"/>
      <c r="I44" s="62"/>
      <c r="J44" s="62"/>
      <c r="K44" s="62"/>
      <c r="L44" s="284"/>
      <c r="M44" s="284"/>
      <c r="N44" s="284"/>
      <c r="O44" s="284"/>
      <c r="P44" s="64"/>
      <c r="Q44" s="65"/>
      <c r="R44" s="66"/>
      <c r="S44" s="67">
        <v>0</v>
      </c>
      <c r="T44" s="67">
        <v>0</v>
      </c>
      <c r="U44" s="310">
        <f t="shared" si="2"/>
        <v>0</v>
      </c>
      <c r="V44" s="92"/>
      <c r="W44" s="66"/>
      <c r="X44" s="93"/>
      <c r="Y44" s="66"/>
      <c r="Z44" s="66"/>
      <c r="AA44" s="66"/>
      <c r="AB44" s="66"/>
      <c r="AC44" s="68"/>
      <c r="AD44" s="66"/>
      <c r="AE44" s="66"/>
      <c r="AF44" s="66"/>
      <c r="AG44" s="66"/>
      <c r="AH44" s="66"/>
      <c r="AI44" s="66"/>
      <c r="AJ44" s="66"/>
      <c r="AK44" s="66"/>
      <c r="AM44" s="734">
        <f t="shared" si="4"/>
        <v>0</v>
      </c>
      <c r="AN44" s="305" t="e">
        <f>IF(assumptions!$B$13='VHFA Use'!$C$86,LOOKUP(1,V44:AB44,$V$5:$AB$5),"N/A")</f>
        <v>#N/A</v>
      </c>
    </row>
    <row r="45" spans="1:40">
      <c r="A45" s="173"/>
      <c r="B45" s="61"/>
      <c r="C45" s="62"/>
      <c r="D45" s="62"/>
      <c r="E45" s="62"/>
      <c r="F45" s="62"/>
      <c r="G45" s="63"/>
      <c r="H45" s="62"/>
      <c r="I45" s="62"/>
      <c r="J45" s="62"/>
      <c r="K45" s="62"/>
      <c r="L45" s="284"/>
      <c r="M45" s="284"/>
      <c r="N45" s="284"/>
      <c r="O45" s="284"/>
      <c r="P45" s="64"/>
      <c r="Q45" s="65"/>
      <c r="R45" s="66"/>
      <c r="S45" s="67">
        <v>0</v>
      </c>
      <c r="T45" s="67">
        <v>0</v>
      </c>
      <c r="U45" s="310">
        <f t="shared" si="2"/>
        <v>0</v>
      </c>
      <c r="V45" s="92"/>
      <c r="W45" s="66"/>
      <c r="X45" s="93"/>
      <c r="Y45" s="66"/>
      <c r="Z45" s="66"/>
      <c r="AA45" s="66"/>
      <c r="AB45" s="66"/>
      <c r="AC45" s="68"/>
      <c r="AD45" s="66"/>
      <c r="AE45" s="66"/>
      <c r="AF45" s="66"/>
      <c r="AG45" s="66"/>
      <c r="AH45" s="66"/>
      <c r="AI45" s="66"/>
      <c r="AJ45" s="66"/>
      <c r="AK45" s="66"/>
      <c r="AM45" s="734">
        <f t="shared" si="4"/>
        <v>0</v>
      </c>
      <c r="AN45" s="305" t="e">
        <f>IF(assumptions!$B$13='VHFA Use'!$C$86,LOOKUP(1,V45:AB45,$V$5:$AB$5),"N/A")</f>
        <v>#N/A</v>
      </c>
    </row>
    <row r="46" spans="1:40">
      <c r="A46" s="173"/>
      <c r="B46" s="61"/>
      <c r="C46" s="62"/>
      <c r="D46" s="62"/>
      <c r="E46" s="62"/>
      <c r="F46" s="62"/>
      <c r="G46" s="63"/>
      <c r="H46" s="62"/>
      <c r="I46" s="62"/>
      <c r="J46" s="62"/>
      <c r="K46" s="62"/>
      <c r="L46" s="284"/>
      <c r="M46" s="284"/>
      <c r="N46" s="284"/>
      <c r="O46" s="284"/>
      <c r="P46" s="64"/>
      <c r="Q46" s="65"/>
      <c r="R46" s="66"/>
      <c r="S46" s="67">
        <v>0</v>
      </c>
      <c r="T46" s="67">
        <v>0</v>
      </c>
      <c r="U46" s="310">
        <f t="shared" si="2"/>
        <v>0</v>
      </c>
      <c r="V46" s="92"/>
      <c r="W46" s="66"/>
      <c r="X46" s="93"/>
      <c r="Y46" s="66"/>
      <c r="Z46" s="66"/>
      <c r="AA46" s="66"/>
      <c r="AB46" s="66"/>
      <c r="AC46" s="68"/>
      <c r="AD46" s="66"/>
      <c r="AE46" s="66"/>
      <c r="AF46" s="66"/>
      <c r="AG46" s="66"/>
      <c r="AH46" s="66"/>
      <c r="AI46" s="66"/>
      <c r="AJ46" s="66"/>
      <c r="AK46" s="66"/>
      <c r="AM46" s="734">
        <f t="shared" si="4"/>
        <v>0</v>
      </c>
      <c r="AN46" s="305" t="e">
        <f>IF(assumptions!$B$13='VHFA Use'!$C$86,LOOKUP(1,V46:AB46,$V$5:$AB$5),"N/A")</f>
        <v>#N/A</v>
      </c>
    </row>
    <row r="47" spans="1:40">
      <c r="A47" s="173"/>
      <c r="B47" s="61"/>
      <c r="C47" s="62"/>
      <c r="D47" s="62"/>
      <c r="E47" s="62"/>
      <c r="F47" s="62"/>
      <c r="G47" s="63"/>
      <c r="H47" s="62"/>
      <c r="I47" s="62"/>
      <c r="J47" s="62"/>
      <c r="K47" s="62"/>
      <c r="L47" s="284"/>
      <c r="M47" s="284"/>
      <c r="N47" s="284"/>
      <c r="O47" s="284"/>
      <c r="P47" s="64"/>
      <c r="Q47" s="65"/>
      <c r="R47" s="66"/>
      <c r="S47" s="67">
        <v>0</v>
      </c>
      <c r="T47" s="67">
        <v>0</v>
      </c>
      <c r="U47" s="310">
        <f t="shared" si="2"/>
        <v>0</v>
      </c>
      <c r="V47" s="92"/>
      <c r="W47" s="66"/>
      <c r="X47" s="93"/>
      <c r="Y47" s="66"/>
      <c r="Z47" s="66"/>
      <c r="AA47" s="66"/>
      <c r="AB47" s="66"/>
      <c r="AC47" s="68"/>
      <c r="AD47" s="66"/>
      <c r="AE47" s="66"/>
      <c r="AF47" s="66"/>
      <c r="AG47" s="66"/>
      <c r="AH47" s="66"/>
      <c r="AI47" s="66"/>
      <c r="AJ47" s="66"/>
      <c r="AK47" s="66"/>
      <c r="AM47" s="734">
        <f t="shared" si="4"/>
        <v>0</v>
      </c>
      <c r="AN47" s="305" t="e">
        <f>IF(assumptions!$B$13='VHFA Use'!$C$86,LOOKUP(1,V47:AB47,$V$5:$AB$5),"N/A")</f>
        <v>#N/A</v>
      </c>
    </row>
    <row r="48" spans="1:40">
      <c r="A48" s="173"/>
      <c r="B48" s="61"/>
      <c r="C48" s="62"/>
      <c r="D48" s="62"/>
      <c r="E48" s="62"/>
      <c r="F48" s="62"/>
      <c r="G48" s="63"/>
      <c r="H48" s="62"/>
      <c r="I48" s="62"/>
      <c r="J48" s="62"/>
      <c r="K48" s="62"/>
      <c r="L48" s="284"/>
      <c r="M48" s="284"/>
      <c r="N48" s="284"/>
      <c r="O48" s="284"/>
      <c r="P48" s="64"/>
      <c r="Q48" s="65"/>
      <c r="R48" s="66"/>
      <c r="S48" s="67">
        <v>0</v>
      </c>
      <c r="T48" s="67">
        <v>0</v>
      </c>
      <c r="U48" s="310">
        <f t="shared" si="0"/>
        <v>0</v>
      </c>
      <c r="V48" s="92"/>
      <c r="W48" s="66"/>
      <c r="X48" s="93"/>
      <c r="Y48" s="66"/>
      <c r="Z48" s="66"/>
      <c r="AA48" s="66"/>
      <c r="AB48" s="66"/>
      <c r="AC48" s="68"/>
      <c r="AD48" s="66"/>
      <c r="AE48" s="66"/>
      <c r="AF48" s="66"/>
      <c r="AG48" s="66"/>
      <c r="AH48" s="66"/>
      <c r="AI48" s="66"/>
      <c r="AJ48" s="66"/>
      <c r="AK48" s="66"/>
      <c r="AM48" s="734">
        <f t="shared" si="4"/>
        <v>0</v>
      </c>
      <c r="AN48" s="305" t="e">
        <f>IF(assumptions!$B$13='VHFA Use'!$C$86,LOOKUP(1,V48:AB48,$V$5:$AB$5),"N/A")</f>
        <v>#N/A</v>
      </c>
    </row>
    <row r="49" spans="1:40">
      <c r="A49" s="173"/>
      <c r="B49" s="61"/>
      <c r="C49" s="62"/>
      <c r="D49" s="62"/>
      <c r="E49" s="62"/>
      <c r="F49" s="62"/>
      <c r="G49" s="63"/>
      <c r="H49" s="62"/>
      <c r="I49" s="62"/>
      <c r="J49" s="62"/>
      <c r="K49" s="62"/>
      <c r="L49" s="284"/>
      <c r="M49" s="284"/>
      <c r="N49" s="284"/>
      <c r="O49" s="284"/>
      <c r="P49" s="64"/>
      <c r="Q49" s="65"/>
      <c r="R49" s="66"/>
      <c r="S49" s="67">
        <v>0</v>
      </c>
      <c r="T49" s="67">
        <v>0</v>
      </c>
      <c r="U49" s="310">
        <f t="shared" si="0"/>
        <v>0</v>
      </c>
      <c r="V49" s="92"/>
      <c r="W49" s="66"/>
      <c r="X49" s="93"/>
      <c r="Y49" s="66"/>
      <c r="Z49" s="66"/>
      <c r="AA49" s="66"/>
      <c r="AB49" s="66"/>
      <c r="AC49" s="68"/>
      <c r="AD49" s="66"/>
      <c r="AE49" s="66"/>
      <c r="AF49" s="66"/>
      <c r="AG49" s="66"/>
      <c r="AH49" s="66"/>
      <c r="AI49" s="66"/>
      <c r="AJ49" s="66"/>
      <c r="AK49" s="66"/>
      <c r="AM49" s="734">
        <f t="shared" si="4"/>
        <v>0</v>
      </c>
      <c r="AN49" s="305" t="e">
        <f>IF(assumptions!$B$13='VHFA Use'!$C$86,LOOKUP(1,V49:AB49,$V$5:$AB$5),"N/A")</f>
        <v>#N/A</v>
      </c>
    </row>
    <row r="50" spans="1:40" outlineLevel="1">
      <c r="A50" s="173"/>
      <c r="B50" s="61"/>
      <c r="C50" s="62"/>
      <c r="D50" s="62"/>
      <c r="E50" s="62"/>
      <c r="F50" s="62"/>
      <c r="G50" s="63"/>
      <c r="H50" s="62"/>
      <c r="I50" s="62"/>
      <c r="J50" s="62"/>
      <c r="K50" s="62"/>
      <c r="L50" s="284"/>
      <c r="M50" s="284"/>
      <c r="N50" s="284"/>
      <c r="O50" s="284"/>
      <c r="P50" s="64"/>
      <c r="Q50" s="65"/>
      <c r="R50" s="66"/>
      <c r="S50" s="67">
        <v>0</v>
      </c>
      <c r="T50" s="67">
        <v>0</v>
      </c>
      <c r="U50" s="310">
        <f t="shared" si="0"/>
        <v>0</v>
      </c>
      <c r="V50" s="92"/>
      <c r="W50" s="66"/>
      <c r="X50" s="93"/>
      <c r="Y50" s="66"/>
      <c r="Z50" s="66"/>
      <c r="AA50" s="66"/>
      <c r="AB50" s="66"/>
      <c r="AC50" s="68"/>
      <c r="AD50" s="66"/>
      <c r="AE50" s="66"/>
      <c r="AF50" s="66"/>
      <c r="AG50" s="66"/>
      <c r="AH50" s="66"/>
      <c r="AI50" s="66"/>
      <c r="AJ50" s="66"/>
      <c r="AK50" s="66"/>
      <c r="AM50" s="734">
        <f t="shared" si="4"/>
        <v>0</v>
      </c>
      <c r="AN50" s="305" t="e">
        <f>IF(assumptions!$B$13='VHFA Use'!$C$86,LOOKUP(1,V50:AB50,$V$5:$AB$5),"N/A")</f>
        <v>#N/A</v>
      </c>
    </row>
    <row r="51" spans="1:40" outlineLevel="1">
      <c r="A51" s="173"/>
      <c r="B51" s="61"/>
      <c r="C51" s="62"/>
      <c r="D51" s="62"/>
      <c r="E51" s="62"/>
      <c r="F51" s="62"/>
      <c r="G51" s="63"/>
      <c r="H51" s="62"/>
      <c r="I51" s="62"/>
      <c r="J51" s="62"/>
      <c r="K51" s="62"/>
      <c r="L51" s="284"/>
      <c r="M51" s="284"/>
      <c r="N51" s="284"/>
      <c r="O51" s="284"/>
      <c r="P51" s="64"/>
      <c r="Q51" s="65"/>
      <c r="R51" s="66"/>
      <c r="S51" s="67">
        <v>0</v>
      </c>
      <c r="T51" s="67">
        <v>0</v>
      </c>
      <c r="U51" s="310">
        <f t="shared" si="0"/>
        <v>0</v>
      </c>
      <c r="V51" s="92"/>
      <c r="W51" s="66"/>
      <c r="X51" s="93"/>
      <c r="Y51" s="66"/>
      <c r="Z51" s="66"/>
      <c r="AA51" s="66"/>
      <c r="AB51" s="66"/>
      <c r="AC51" s="68"/>
      <c r="AD51" s="66"/>
      <c r="AE51" s="66"/>
      <c r="AF51" s="66"/>
      <c r="AG51" s="66"/>
      <c r="AH51" s="66"/>
      <c r="AI51" s="66"/>
      <c r="AJ51" s="66"/>
      <c r="AK51" s="66"/>
      <c r="AM51" s="734">
        <f t="shared" si="4"/>
        <v>0</v>
      </c>
      <c r="AN51" s="305" t="e">
        <f>IF(assumptions!$B$13='VHFA Use'!$C$86,LOOKUP(1,V51:AB51,$V$5:$AB$5),"N/A")</f>
        <v>#N/A</v>
      </c>
    </row>
    <row r="52" spans="1:40" outlineLevel="1">
      <c r="A52" s="173"/>
      <c r="B52" s="61"/>
      <c r="C52" s="62"/>
      <c r="D52" s="62"/>
      <c r="E52" s="62"/>
      <c r="F52" s="62"/>
      <c r="G52" s="63"/>
      <c r="H52" s="62"/>
      <c r="I52" s="62"/>
      <c r="J52" s="62"/>
      <c r="K52" s="62"/>
      <c r="L52" s="284"/>
      <c r="M52" s="284"/>
      <c r="N52" s="284"/>
      <c r="O52" s="284"/>
      <c r="P52" s="64"/>
      <c r="Q52" s="65"/>
      <c r="R52" s="66"/>
      <c r="S52" s="67">
        <v>0</v>
      </c>
      <c r="T52" s="67">
        <v>0</v>
      </c>
      <c r="U52" s="310">
        <f t="shared" si="0"/>
        <v>0</v>
      </c>
      <c r="V52" s="92"/>
      <c r="W52" s="66"/>
      <c r="X52" s="93"/>
      <c r="Y52" s="66"/>
      <c r="Z52" s="66"/>
      <c r="AA52" s="66"/>
      <c r="AB52" s="66"/>
      <c r="AC52" s="68"/>
      <c r="AD52" s="66"/>
      <c r="AE52" s="66"/>
      <c r="AF52" s="66"/>
      <c r="AG52" s="66"/>
      <c r="AH52" s="66"/>
      <c r="AI52" s="66"/>
      <c r="AJ52" s="66"/>
      <c r="AK52" s="66"/>
      <c r="AM52" s="734">
        <f t="shared" si="4"/>
        <v>0</v>
      </c>
      <c r="AN52" s="305" t="e">
        <f>IF(assumptions!$B$13='VHFA Use'!$C$86,LOOKUP(1,V52:AB52,$V$5:$AB$5),"N/A")</f>
        <v>#N/A</v>
      </c>
    </row>
    <row r="53" spans="1:40" outlineLevel="1">
      <c r="A53" s="173"/>
      <c r="B53" s="61"/>
      <c r="C53" s="62"/>
      <c r="D53" s="62"/>
      <c r="E53" s="62"/>
      <c r="F53" s="62"/>
      <c r="G53" s="63"/>
      <c r="H53" s="62"/>
      <c r="I53" s="62"/>
      <c r="J53" s="62"/>
      <c r="K53" s="62"/>
      <c r="L53" s="284"/>
      <c r="M53" s="284"/>
      <c r="N53" s="284"/>
      <c r="O53" s="284"/>
      <c r="P53" s="64"/>
      <c r="Q53" s="65"/>
      <c r="R53" s="66"/>
      <c r="S53" s="67">
        <v>0</v>
      </c>
      <c r="T53" s="67">
        <v>0</v>
      </c>
      <c r="U53" s="310">
        <f t="shared" si="0"/>
        <v>0</v>
      </c>
      <c r="V53" s="92"/>
      <c r="W53" s="66"/>
      <c r="X53" s="93"/>
      <c r="Y53" s="66"/>
      <c r="Z53" s="66"/>
      <c r="AA53" s="66"/>
      <c r="AB53" s="66"/>
      <c r="AC53" s="68"/>
      <c r="AD53" s="66"/>
      <c r="AE53" s="66"/>
      <c r="AF53" s="66"/>
      <c r="AG53" s="66"/>
      <c r="AH53" s="66"/>
      <c r="AI53" s="66"/>
      <c r="AJ53" s="66"/>
      <c r="AK53" s="66"/>
      <c r="AM53" s="734">
        <f t="shared" si="4"/>
        <v>0</v>
      </c>
      <c r="AN53" s="305" t="e">
        <f>IF(assumptions!$B$13='VHFA Use'!$C$86,LOOKUP(1,V53:AB53,$V$5:$AB$5),"N/A")</f>
        <v>#N/A</v>
      </c>
    </row>
    <row r="54" spans="1:40" outlineLevel="1">
      <c r="A54" s="173"/>
      <c r="B54" s="61"/>
      <c r="C54" s="62"/>
      <c r="D54" s="62"/>
      <c r="E54" s="62"/>
      <c r="F54" s="62"/>
      <c r="G54" s="63"/>
      <c r="H54" s="62"/>
      <c r="I54" s="62"/>
      <c r="J54" s="62"/>
      <c r="K54" s="62"/>
      <c r="L54" s="284"/>
      <c r="M54" s="284"/>
      <c r="N54" s="284"/>
      <c r="O54" s="284"/>
      <c r="P54" s="64"/>
      <c r="Q54" s="65"/>
      <c r="R54" s="66"/>
      <c r="S54" s="67">
        <v>0</v>
      </c>
      <c r="T54" s="67">
        <v>0</v>
      </c>
      <c r="U54" s="310">
        <f t="shared" si="0"/>
        <v>0</v>
      </c>
      <c r="V54" s="92"/>
      <c r="W54" s="66"/>
      <c r="X54" s="93"/>
      <c r="Y54" s="66"/>
      <c r="Z54" s="66"/>
      <c r="AA54" s="66"/>
      <c r="AB54" s="66"/>
      <c r="AC54" s="68"/>
      <c r="AD54" s="66"/>
      <c r="AE54" s="66"/>
      <c r="AF54" s="66"/>
      <c r="AG54" s="66"/>
      <c r="AH54" s="66"/>
      <c r="AI54" s="66"/>
      <c r="AJ54" s="66"/>
      <c r="AK54" s="66"/>
      <c r="AM54" s="734">
        <f t="shared" si="4"/>
        <v>0</v>
      </c>
      <c r="AN54" s="305" t="e">
        <f>IF(assumptions!$B$13='VHFA Use'!$C$86,LOOKUP(1,V54:AB54,$V$5:$AB$5),"N/A")</f>
        <v>#N/A</v>
      </c>
    </row>
    <row r="55" spans="1:40" outlineLevel="1">
      <c r="A55" s="173"/>
      <c r="B55" s="61"/>
      <c r="C55" s="62"/>
      <c r="D55" s="62"/>
      <c r="E55" s="62"/>
      <c r="F55" s="62"/>
      <c r="G55" s="63"/>
      <c r="H55" s="62"/>
      <c r="I55" s="62"/>
      <c r="J55" s="62"/>
      <c r="K55" s="62"/>
      <c r="L55" s="284"/>
      <c r="M55" s="284"/>
      <c r="N55" s="284"/>
      <c r="O55" s="284"/>
      <c r="P55" s="64"/>
      <c r="Q55" s="65"/>
      <c r="R55" s="66"/>
      <c r="S55" s="67">
        <v>0</v>
      </c>
      <c r="T55" s="67">
        <v>0</v>
      </c>
      <c r="U55" s="310">
        <f t="shared" si="0"/>
        <v>0</v>
      </c>
      <c r="V55" s="92"/>
      <c r="W55" s="66"/>
      <c r="X55" s="93"/>
      <c r="Y55" s="66"/>
      <c r="Z55" s="66"/>
      <c r="AA55" s="66"/>
      <c r="AB55" s="66"/>
      <c r="AC55" s="68"/>
      <c r="AD55" s="66"/>
      <c r="AE55" s="66"/>
      <c r="AF55" s="66"/>
      <c r="AG55" s="66"/>
      <c r="AH55" s="66"/>
      <c r="AI55" s="66"/>
      <c r="AJ55" s="66"/>
      <c r="AK55" s="66"/>
      <c r="AM55" s="734">
        <f t="shared" si="4"/>
        <v>0</v>
      </c>
      <c r="AN55" s="305" t="e">
        <f>IF(assumptions!$B$13='VHFA Use'!$C$86,LOOKUP(1,V55:AB55,$V$5:$AB$5),"N/A")</f>
        <v>#N/A</v>
      </c>
    </row>
    <row r="56" spans="1:40" outlineLevel="1">
      <c r="A56" s="173"/>
      <c r="B56" s="61"/>
      <c r="C56" s="62"/>
      <c r="D56" s="62"/>
      <c r="E56" s="62"/>
      <c r="F56" s="62"/>
      <c r="G56" s="63"/>
      <c r="H56" s="62"/>
      <c r="I56" s="62"/>
      <c r="J56" s="62"/>
      <c r="K56" s="62"/>
      <c r="L56" s="284"/>
      <c r="M56" s="284"/>
      <c r="N56" s="284"/>
      <c r="O56" s="284"/>
      <c r="P56" s="64"/>
      <c r="Q56" s="65"/>
      <c r="R56" s="66"/>
      <c r="S56" s="67">
        <v>0</v>
      </c>
      <c r="T56" s="67">
        <v>0</v>
      </c>
      <c r="U56" s="310">
        <f t="shared" si="0"/>
        <v>0</v>
      </c>
      <c r="V56" s="92"/>
      <c r="W56" s="66"/>
      <c r="X56" s="93"/>
      <c r="Y56" s="66"/>
      <c r="Z56" s="66"/>
      <c r="AA56" s="66"/>
      <c r="AB56" s="66"/>
      <c r="AC56" s="68"/>
      <c r="AD56" s="66"/>
      <c r="AE56" s="66"/>
      <c r="AF56" s="66"/>
      <c r="AG56" s="66"/>
      <c r="AH56" s="66"/>
      <c r="AI56" s="66"/>
      <c r="AJ56" s="66"/>
      <c r="AK56" s="66"/>
      <c r="AM56" s="734">
        <f t="shared" si="4"/>
        <v>0</v>
      </c>
      <c r="AN56" s="305" t="e">
        <f>IF(assumptions!$B$13='VHFA Use'!$C$86,LOOKUP(1,V56:AB56,$V$5:$AB$5),"N/A")</f>
        <v>#N/A</v>
      </c>
    </row>
    <row r="57" spans="1:40" outlineLevel="1">
      <c r="A57" s="173"/>
      <c r="B57" s="61"/>
      <c r="C57" s="62"/>
      <c r="D57" s="62"/>
      <c r="E57" s="62"/>
      <c r="F57" s="62"/>
      <c r="G57" s="63"/>
      <c r="H57" s="62"/>
      <c r="I57" s="62"/>
      <c r="J57" s="62"/>
      <c r="K57" s="62"/>
      <c r="L57" s="284"/>
      <c r="M57" s="284"/>
      <c r="N57" s="284"/>
      <c r="O57" s="284"/>
      <c r="P57" s="64"/>
      <c r="Q57" s="65"/>
      <c r="R57" s="66"/>
      <c r="S57" s="67">
        <v>0</v>
      </c>
      <c r="T57" s="67">
        <v>0</v>
      </c>
      <c r="U57" s="310">
        <f t="shared" si="0"/>
        <v>0</v>
      </c>
      <c r="V57" s="92"/>
      <c r="W57" s="66"/>
      <c r="X57" s="93"/>
      <c r="Y57" s="66"/>
      <c r="Z57" s="66"/>
      <c r="AA57" s="66"/>
      <c r="AB57" s="66"/>
      <c r="AC57" s="68"/>
      <c r="AD57" s="66"/>
      <c r="AE57" s="66"/>
      <c r="AF57" s="66"/>
      <c r="AG57" s="66"/>
      <c r="AH57" s="66"/>
      <c r="AI57" s="66"/>
      <c r="AJ57" s="66"/>
      <c r="AK57" s="66"/>
      <c r="AM57" s="734">
        <f t="shared" si="4"/>
        <v>0</v>
      </c>
      <c r="AN57" s="305" t="e">
        <f>IF(assumptions!$B$13='VHFA Use'!$C$86,LOOKUP(1,V57:AB57,$V$5:$AB$5),"N/A")</f>
        <v>#N/A</v>
      </c>
    </row>
    <row r="58" spans="1:40" outlineLevel="1">
      <c r="A58" s="173"/>
      <c r="B58" s="61"/>
      <c r="C58" s="62"/>
      <c r="D58" s="62"/>
      <c r="E58" s="62"/>
      <c r="F58" s="62"/>
      <c r="G58" s="63"/>
      <c r="H58" s="62"/>
      <c r="I58" s="62"/>
      <c r="J58" s="62"/>
      <c r="K58" s="62"/>
      <c r="L58" s="284"/>
      <c r="M58" s="284"/>
      <c r="N58" s="284"/>
      <c r="O58" s="284"/>
      <c r="P58" s="64"/>
      <c r="Q58" s="65"/>
      <c r="R58" s="66"/>
      <c r="S58" s="67">
        <v>0</v>
      </c>
      <c r="T58" s="67">
        <v>0</v>
      </c>
      <c r="U58" s="310">
        <f t="shared" si="0"/>
        <v>0</v>
      </c>
      <c r="V58" s="92"/>
      <c r="W58" s="66"/>
      <c r="X58" s="93"/>
      <c r="Y58" s="66"/>
      <c r="Z58" s="66"/>
      <c r="AA58" s="66"/>
      <c r="AB58" s="66"/>
      <c r="AC58" s="68"/>
      <c r="AD58" s="66"/>
      <c r="AE58" s="66"/>
      <c r="AF58" s="66"/>
      <c r="AG58" s="66"/>
      <c r="AH58" s="66"/>
      <c r="AI58" s="66"/>
      <c r="AJ58" s="66"/>
      <c r="AK58" s="66"/>
      <c r="AM58" s="734">
        <f t="shared" si="4"/>
        <v>0</v>
      </c>
      <c r="AN58" s="305" t="e">
        <f>IF(assumptions!$B$13='VHFA Use'!$C$86,LOOKUP(1,V58:AB58,$V$5:$AB$5),"N/A")</f>
        <v>#N/A</v>
      </c>
    </row>
    <row r="59" spans="1:40" outlineLevel="1">
      <c r="A59" s="173"/>
      <c r="B59" s="61"/>
      <c r="C59" s="62"/>
      <c r="D59" s="62"/>
      <c r="E59" s="62"/>
      <c r="F59" s="62"/>
      <c r="G59" s="63"/>
      <c r="H59" s="62"/>
      <c r="I59" s="62"/>
      <c r="J59" s="62"/>
      <c r="K59" s="62"/>
      <c r="L59" s="284"/>
      <c r="M59" s="284"/>
      <c r="N59" s="284"/>
      <c r="O59" s="284"/>
      <c r="P59" s="64"/>
      <c r="Q59" s="65"/>
      <c r="R59" s="66"/>
      <c r="S59" s="67">
        <v>0</v>
      </c>
      <c r="T59" s="67">
        <v>0</v>
      </c>
      <c r="U59" s="310">
        <f t="shared" si="0"/>
        <v>0</v>
      </c>
      <c r="V59" s="92"/>
      <c r="W59" s="66"/>
      <c r="X59" s="93"/>
      <c r="Y59" s="66"/>
      <c r="Z59" s="66"/>
      <c r="AA59" s="66"/>
      <c r="AB59" s="66"/>
      <c r="AC59" s="68"/>
      <c r="AD59" s="66"/>
      <c r="AE59" s="66"/>
      <c r="AF59" s="66"/>
      <c r="AG59" s="66"/>
      <c r="AH59" s="66"/>
      <c r="AI59" s="66"/>
      <c r="AJ59" s="66"/>
      <c r="AK59" s="66"/>
      <c r="AM59" s="734">
        <f t="shared" si="4"/>
        <v>0</v>
      </c>
      <c r="AN59" s="305" t="e">
        <f>IF(assumptions!$B$13='VHFA Use'!$C$86,LOOKUP(1,V59:AB59,$V$5:$AB$5),"N/A")</f>
        <v>#N/A</v>
      </c>
    </row>
    <row r="60" spans="1:40" outlineLevel="1">
      <c r="A60" s="173"/>
      <c r="B60" s="61"/>
      <c r="C60" s="62"/>
      <c r="D60" s="62"/>
      <c r="E60" s="62"/>
      <c r="F60" s="62"/>
      <c r="G60" s="63"/>
      <c r="H60" s="62"/>
      <c r="I60" s="62"/>
      <c r="J60" s="62"/>
      <c r="K60" s="62"/>
      <c r="L60" s="284"/>
      <c r="M60" s="284"/>
      <c r="N60" s="284"/>
      <c r="O60" s="284"/>
      <c r="P60" s="64"/>
      <c r="Q60" s="65"/>
      <c r="R60" s="66"/>
      <c r="S60" s="67">
        <v>0</v>
      </c>
      <c r="T60" s="67">
        <v>0</v>
      </c>
      <c r="U60" s="310">
        <f t="shared" si="0"/>
        <v>0</v>
      </c>
      <c r="V60" s="92"/>
      <c r="W60" s="66"/>
      <c r="X60" s="93"/>
      <c r="Y60" s="66"/>
      <c r="Z60" s="66"/>
      <c r="AA60" s="66"/>
      <c r="AB60" s="66"/>
      <c r="AC60" s="68"/>
      <c r="AD60" s="66"/>
      <c r="AE60" s="66"/>
      <c r="AF60" s="66"/>
      <c r="AG60" s="66"/>
      <c r="AH60" s="66"/>
      <c r="AI60" s="66"/>
      <c r="AJ60" s="66"/>
      <c r="AK60" s="66"/>
      <c r="AM60" s="734">
        <f t="shared" si="4"/>
        <v>0</v>
      </c>
      <c r="AN60" s="305" t="e">
        <f>IF(assumptions!$B$13='VHFA Use'!$C$86,LOOKUP(1,V60:AB60,$V$5:$AB$5),"N/A")</f>
        <v>#N/A</v>
      </c>
    </row>
    <row r="61" spans="1:40" outlineLevel="1">
      <c r="A61" s="173"/>
      <c r="B61" s="61"/>
      <c r="C61" s="62"/>
      <c r="D61" s="62"/>
      <c r="E61" s="62"/>
      <c r="F61" s="62"/>
      <c r="G61" s="63"/>
      <c r="H61" s="62"/>
      <c r="I61" s="62"/>
      <c r="J61" s="62"/>
      <c r="K61" s="62"/>
      <c r="L61" s="284"/>
      <c r="M61" s="284"/>
      <c r="N61" s="284"/>
      <c r="O61" s="284"/>
      <c r="P61" s="64"/>
      <c r="Q61" s="65"/>
      <c r="R61" s="66"/>
      <c r="S61" s="67">
        <v>0</v>
      </c>
      <c r="T61" s="67">
        <v>0</v>
      </c>
      <c r="U61" s="310">
        <f t="shared" si="0"/>
        <v>0</v>
      </c>
      <c r="V61" s="92"/>
      <c r="W61" s="66"/>
      <c r="X61" s="93"/>
      <c r="Y61" s="66"/>
      <c r="Z61" s="66"/>
      <c r="AA61" s="66"/>
      <c r="AB61" s="66"/>
      <c r="AC61" s="68"/>
      <c r="AD61" s="66"/>
      <c r="AE61" s="66"/>
      <c r="AF61" s="66"/>
      <c r="AG61" s="66"/>
      <c r="AH61" s="66"/>
      <c r="AI61" s="66"/>
      <c r="AJ61" s="66"/>
      <c r="AK61" s="66"/>
      <c r="AM61" s="734">
        <f t="shared" si="4"/>
        <v>0</v>
      </c>
      <c r="AN61" s="305" t="e">
        <f>IF(assumptions!$B$13='VHFA Use'!$C$86,LOOKUP(1,V61:AB61,$V$5:$AB$5),"N/A")</f>
        <v>#N/A</v>
      </c>
    </row>
    <row r="62" spans="1:40" outlineLevel="1">
      <c r="A62" s="173"/>
      <c r="B62" s="61"/>
      <c r="C62" s="62"/>
      <c r="D62" s="62"/>
      <c r="E62" s="62"/>
      <c r="F62" s="62"/>
      <c r="G62" s="63"/>
      <c r="H62" s="62"/>
      <c r="I62" s="62"/>
      <c r="J62" s="62"/>
      <c r="K62" s="62"/>
      <c r="L62" s="284"/>
      <c r="M62" s="284"/>
      <c r="N62" s="284"/>
      <c r="O62" s="284"/>
      <c r="P62" s="64"/>
      <c r="Q62" s="65"/>
      <c r="R62" s="66"/>
      <c r="S62" s="67">
        <v>0</v>
      </c>
      <c r="T62" s="67">
        <v>0</v>
      </c>
      <c r="U62" s="310">
        <f t="shared" si="0"/>
        <v>0</v>
      </c>
      <c r="V62" s="92"/>
      <c r="W62" s="66"/>
      <c r="X62" s="93"/>
      <c r="Y62" s="66"/>
      <c r="Z62" s="66"/>
      <c r="AA62" s="66"/>
      <c r="AB62" s="66"/>
      <c r="AC62" s="68"/>
      <c r="AD62" s="66"/>
      <c r="AE62" s="66"/>
      <c r="AF62" s="66"/>
      <c r="AG62" s="66"/>
      <c r="AH62" s="66"/>
      <c r="AI62" s="66"/>
      <c r="AJ62" s="66"/>
      <c r="AK62" s="66"/>
      <c r="AM62" s="734">
        <f t="shared" si="4"/>
        <v>0</v>
      </c>
      <c r="AN62" s="305" t="e">
        <f>IF(assumptions!$B$13='VHFA Use'!$C$86,LOOKUP(1,V62:AB62,$V$5:$AB$5),"N/A")</f>
        <v>#N/A</v>
      </c>
    </row>
    <row r="63" spans="1:40" outlineLevel="1">
      <c r="A63" s="173"/>
      <c r="B63" s="61"/>
      <c r="C63" s="62"/>
      <c r="D63" s="62"/>
      <c r="E63" s="62"/>
      <c r="F63" s="62"/>
      <c r="G63" s="63"/>
      <c r="H63" s="62"/>
      <c r="I63" s="62"/>
      <c r="J63" s="62"/>
      <c r="K63" s="62"/>
      <c r="L63" s="284"/>
      <c r="M63" s="284"/>
      <c r="N63" s="284"/>
      <c r="O63" s="284"/>
      <c r="P63" s="64"/>
      <c r="Q63" s="65"/>
      <c r="R63" s="66"/>
      <c r="S63" s="67">
        <v>0</v>
      </c>
      <c r="T63" s="67">
        <v>0</v>
      </c>
      <c r="U63" s="310">
        <f t="shared" si="0"/>
        <v>0</v>
      </c>
      <c r="V63" s="92"/>
      <c r="W63" s="66"/>
      <c r="X63" s="93"/>
      <c r="Y63" s="66"/>
      <c r="Z63" s="66"/>
      <c r="AA63" s="66"/>
      <c r="AB63" s="66"/>
      <c r="AC63" s="68"/>
      <c r="AD63" s="66"/>
      <c r="AE63" s="66"/>
      <c r="AF63" s="66"/>
      <c r="AG63" s="66"/>
      <c r="AH63" s="66"/>
      <c r="AI63" s="66"/>
      <c r="AJ63" s="66"/>
      <c r="AK63" s="66"/>
      <c r="AM63" s="734">
        <f t="shared" si="4"/>
        <v>0</v>
      </c>
      <c r="AN63" s="305" t="e">
        <f>IF(assumptions!$B$13='VHFA Use'!$C$86,LOOKUP(1,V63:AB63,$V$5:$AB$5),"N/A")</f>
        <v>#N/A</v>
      </c>
    </row>
    <row r="64" spans="1:40" outlineLevel="1">
      <c r="A64" s="173"/>
      <c r="B64" s="61"/>
      <c r="C64" s="62"/>
      <c r="D64" s="62"/>
      <c r="E64" s="62"/>
      <c r="F64" s="62"/>
      <c r="G64" s="63"/>
      <c r="H64" s="62"/>
      <c r="I64" s="62"/>
      <c r="J64" s="62"/>
      <c r="K64" s="62"/>
      <c r="L64" s="284"/>
      <c r="M64" s="284"/>
      <c r="N64" s="284"/>
      <c r="O64" s="284"/>
      <c r="P64" s="64"/>
      <c r="Q64" s="65"/>
      <c r="R64" s="66"/>
      <c r="S64" s="67">
        <v>0</v>
      </c>
      <c r="T64" s="67">
        <v>0</v>
      </c>
      <c r="U64" s="310">
        <f t="shared" si="0"/>
        <v>0</v>
      </c>
      <c r="V64" s="92"/>
      <c r="W64" s="66"/>
      <c r="X64" s="93"/>
      <c r="Y64" s="66"/>
      <c r="Z64" s="66"/>
      <c r="AA64" s="66"/>
      <c r="AB64" s="66"/>
      <c r="AC64" s="68"/>
      <c r="AD64" s="66"/>
      <c r="AE64" s="66"/>
      <c r="AF64" s="66"/>
      <c r="AG64" s="66"/>
      <c r="AH64" s="66"/>
      <c r="AI64" s="66"/>
      <c r="AJ64" s="66"/>
      <c r="AK64" s="66"/>
      <c r="AM64" s="734">
        <f t="shared" si="4"/>
        <v>0</v>
      </c>
      <c r="AN64" s="305" t="e">
        <f>IF(assumptions!$B$13='VHFA Use'!$C$86,LOOKUP(1,V64:AB64,$V$5:$AB$5),"N/A")</f>
        <v>#N/A</v>
      </c>
    </row>
    <row r="65" spans="1:40" outlineLevel="1">
      <c r="A65" s="173"/>
      <c r="B65" s="61"/>
      <c r="C65" s="62"/>
      <c r="D65" s="62"/>
      <c r="E65" s="62"/>
      <c r="F65" s="62"/>
      <c r="G65" s="63"/>
      <c r="H65" s="62"/>
      <c r="I65" s="62"/>
      <c r="J65" s="62"/>
      <c r="K65" s="62"/>
      <c r="L65" s="284"/>
      <c r="M65" s="284"/>
      <c r="N65" s="284"/>
      <c r="O65" s="284"/>
      <c r="P65" s="64"/>
      <c r="Q65" s="65"/>
      <c r="R65" s="66"/>
      <c r="S65" s="67">
        <v>0</v>
      </c>
      <c r="T65" s="67">
        <v>0</v>
      </c>
      <c r="U65" s="310">
        <f t="shared" si="0"/>
        <v>0</v>
      </c>
      <c r="V65" s="92"/>
      <c r="W65" s="66"/>
      <c r="X65" s="93"/>
      <c r="Y65" s="66"/>
      <c r="Z65" s="66"/>
      <c r="AA65" s="66"/>
      <c r="AB65" s="66"/>
      <c r="AC65" s="68"/>
      <c r="AD65" s="66"/>
      <c r="AE65" s="66"/>
      <c r="AF65" s="66"/>
      <c r="AG65" s="66"/>
      <c r="AH65" s="66"/>
      <c r="AI65" s="66"/>
      <c r="AJ65" s="66"/>
      <c r="AK65" s="66"/>
      <c r="AM65" s="734">
        <f t="shared" si="4"/>
        <v>0</v>
      </c>
      <c r="AN65" s="305" t="e">
        <f>IF(assumptions!$B$13='VHFA Use'!$C$86,LOOKUP(1,V65:AB65,$V$5:$AB$5),"N/A")</f>
        <v>#N/A</v>
      </c>
    </row>
    <row r="66" spans="1:40" outlineLevel="1">
      <c r="A66" s="173"/>
      <c r="B66" s="61"/>
      <c r="C66" s="62"/>
      <c r="D66" s="62"/>
      <c r="E66" s="62"/>
      <c r="F66" s="62"/>
      <c r="G66" s="63"/>
      <c r="H66" s="62"/>
      <c r="I66" s="62"/>
      <c r="J66" s="62"/>
      <c r="K66" s="62"/>
      <c r="L66" s="284"/>
      <c r="M66" s="284"/>
      <c r="N66" s="284"/>
      <c r="O66" s="284"/>
      <c r="P66" s="64"/>
      <c r="Q66" s="65"/>
      <c r="R66" s="66"/>
      <c r="S66" s="67">
        <v>0</v>
      </c>
      <c r="T66" s="67">
        <v>0</v>
      </c>
      <c r="U66" s="310">
        <f t="shared" si="0"/>
        <v>0</v>
      </c>
      <c r="V66" s="92"/>
      <c r="W66" s="66"/>
      <c r="X66" s="93"/>
      <c r="Y66" s="66"/>
      <c r="Z66" s="66"/>
      <c r="AA66" s="66"/>
      <c r="AB66" s="66"/>
      <c r="AC66" s="68"/>
      <c r="AD66" s="66"/>
      <c r="AE66" s="66"/>
      <c r="AF66" s="66"/>
      <c r="AG66" s="66"/>
      <c r="AH66" s="66"/>
      <c r="AI66" s="66"/>
      <c r="AJ66" s="66"/>
      <c r="AK66" s="66"/>
      <c r="AM66" s="734">
        <f t="shared" si="4"/>
        <v>0</v>
      </c>
      <c r="AN66" s="305" t="e">
        <f>IF(assumptions!$B$13='VHFA Use'!$C$86,LOOKUP(1,V66:AB66,$V$5:$AB$5),"N/A")</f>
        <v>#N/A</v>
      </c>
    </row>
    <row r="67" spans="1:40" outlineLevel="1">
      <c r="A67" s="173"/>
      <c r="B67" s="61"/>
      <c r="C67" s="62"/>
      <c r="D67" s="62"/>
      <c r="E67" s="62"/>
      <c r="F67" s="62"/>
      <c r="G67" s="63"/>
      <c r="H67" s="62"/>
      <c r="I67" s="62"/>
      <c r="J67" s="62"/>
      <c r="K67" s="62"/>
      <c r="L67" s="284"/>
      <c r="M67" s="284"/>
      <c r="N67" s="284"/>
      <c r="O67" s="284"/>
      <c r="P67" s="64"/>
      <c r="Q67" s="65"/>
      <c r="R67" s="66"/>
      <c r="S67" s="67">
        <v>0</v>
      </c>
      <c r="T67" s="67">
        <v>0</v>
      </c>
      <c r="U67" s="310">
        <f t="shared" si="0"/>
        <v>0</v>
      </c>
      <c r="V67" s="92"/>
      <c r="W67" s="66"/>
      <c r="X67" s="93"/>
      <c r="Y67" s="66"/>
      <c r="Z67" s="66"/>
      <c r="AA67" s="66"/>
      <c r="AB67" s="66"/>
      <c r="AC67" s="68"/>
      <c r="AD67" s="66"/>
      <c r="AE67" s="66"/>
      <c r="AF67" s="66"/>
      <c r="AG67" s="66"/>
      <c r="AH67" s="66"/>
      <c r="AI67" s="66"/>
      <c r="AJ67" s="66"/>
      <c r="AK67" s="66"/>
      <c r="AM67" s="734">
        <f t="shared" si="4"/>
        <v>0</v>
      </c>
      <c r="AN67" s="305" t="e">
        <f>IF(assumptions!$B$13='VHFA Use'!$C$86,LOOKUP(1,V67:AB67,$V$5:$AB$5),"N/A")</f>
        <v>#N/A</v>
      </c>
    </row>
    <row r="68" spans="1:40" outlineLevel="1">
      <c r="A68" s="173"/>
      <c r="B68" s="61"/>
      <c r="C68" s="62"/>
      <c r="D68" s="62"/>
      <c r="E68" s="62"/>
      <c r="F68" s="62"/>
      <c r="G68" s="63"/>
      <c r="H68" s="62"/>
      <c r="I68" s="62"/>
      <c r="J68" s="62"/>
      <c r="K68" s="62"/>
      <c r="L68" s="284"/>
      <c r="M68" s="284"/>
      <c r="N68" s="284"/>
      <c r="O68" s="284"/>
      <c r="P68" s="64"/>
      <c r="Q68" s="65"/>
      <c r="R68" s="66"/>
      <c r="S68" s="67">
        <v>0</v>
      </c>
      <c r="T68" s="67">
        <v>0</v>
      </c>
      <c r="U68" s="310">
        <f t="shared" si="0"/>
        <v>0</v>
      </c>
      <c r="V68" s="92"/>
      <c r="W68" s="66"/>
      <c r="X68" s="93"/>
      <c r="Y68" s="66"/>
      <c r="Z68" s="66"/>
      <c r="AA68" s="66"/>
      <c r="AB68" s="66"/>
      <c r="AC68" s="68"/>
      <c r="AD68" s="66"/>
      <c r="AE68" s="66"/>
      <c r="AF68" s="66"/>
      <c r="AG68" s="66"/>
      <c r="AH68" s="66"/>
      <c r="AI68" s="66"/>
      <c r="AJ68" s="66"/>
      <c r="AK68" s="66"/>
      <c r="AM68" s="734">
        <f t="shared" si="4"/>
        <v>0</v>
      </c>
      <c r="AN68" s="305" t="e">
        <f>IF(assumptions!$B$13='VHFA Use'!$C$86,LOOKUP(1,V68:AB68,$V$5:$AB$5),"N/A")</f>
        <v>#N/A</v>
      </c>
    </row>
    <row r="69" spans="1:40" outlineLevel="1">
      <c r="A69" s="173"/>
      <c r="B69" s="61"/>
      <c r="C69" s="62"/>
      <c r="D69" s="62"/>
      <c r="E69" s="62"/>
      <c r="F69" s="62"/>
      <c r="G69" s="63"/>
      <c r="H69" s="62"/>
      <c r="I69" s="62"/>
      <c r="J69" s="62"/>
      <c r="K69" s="62"/>
      <c r="L69" s="284"/>
      <c r="M69" s="284"/>
      <c r="N69" s="284"/>
      <c r="O69" s="284"/>
      <c r="P69" s="64"/>
      <c r="Q69" s="65"/>
      <c r="R69" s="66"/>
      <c r="S69" s="67">
        <v>0</v>
      </c>
      <c r="T69" s="67">
        <v>0</v>
      </c>
      <c r="U69" s="310">
        <f t="shared" si="0"/>
        <v>0</v>
      </c>
      <c r="V69" s="92"/>
      <c r="W69" s="66"/>
      <c r="X69" s="93"/>
      <c r="Y69" s="66"/>
      <c r="Z69" s="66"/>
      <c r="AA69" s="66"/>
      <c r="AB69" s="66"/>
      <c r="AC69" s="68"/>
      <c r="AD69" s="66"/>
      <c r="AE69" s="66"/>
      <c r="AF69" s="66"/>
      <c r="AG69" s="66"/>
      <c r="AH69" s="66"/>
      <c r="AI69" s="66"/>
      <c r="AJ69" s="66"/>
      <c r="AK69" s="66"/>
      <c r="AM69" s="734">
        <f t="shared" si="4"/>
        <v>0</v>
      </c>
      <c r="AN69" s="305" t="e">
        <f>IF(assumptions!$B$13='VHFA Use'!$C$86,LOOKUP(1,V69:AB69,$V$5:$AB$5),"N/A")</f>
        <v>#N/A</v>
      </c>
    </row>
    <row r="70" spans="1:40" outlineLevel="1">
      <c r="A70" s="173"/>
      <c r="B70" s="61"/>
      <c r="C70" s="62"/>
      <c r="D70" s="62"/>
      <c r="E70" s="62"/>
      <c r="F70" s="62"/>
      <c r="G70" s="63"/>
      <c r="H70" s="62"/>
      <c r="I70" s="62"/>
      <c r="J70" s="62"/>
      <c r="K70" s="62"/>
      <c r="L70" s="284"/>
      <c r="M70" s="284"/>
      <c r="N70" s="284"/>
      <c r="O70" s="284"/>
      <c r="P70" s="64"/>
      <c r="Q70" s="65"/>
      <c r="R70" s="66"/>
      <c r="S70" s="67">
        <v>0</v>
      </c>
      <c r="T70" s="67">
        <v>0</v>
      </c>
      <c r="U70" s="310">
        <f t="shared" si="0"/>
        <v>0</v>
      </c>
      <c r="V70" s="92"/>
      <c r="W70" s="66"/>
      <c r="X70" s="93"/>
      <c r="Y70" s="66"/>
      <c r="Z70" s="66"/>
      <c r="AA70" s="66"/>
      <c r="AB70" s="66"/>
      <c r="AC70" s="68"/>
      <c r="AD70" s="66"/>
      <c r="AE70" s="66"/>
      <c r="AF70" s="66"/>
      <c r="AG70" s="66"/>
      <c r="AH70" s="66"/>
      <c r="AI70" s="66"/>
      <c r="AJ70" s="66"/>
      <c r="AK70" s="66"/>
      <c r="AM70" s="734">
        <f t="shared" ref="AM70:AM99" si="5">G70*R70</f>
        <v>0</v>
      </c>
      <c r="AN70" s="305" t="e">
        <f>IF(assumptions!$B$13='VHFA Use'!$C$86,LOOKUP(1,V70:AB70,$V$5:$AB$5),"N/A")</f>
        <v>#N/A</v>
      </c>
    </row>
    <row r="71" spans="1:40" outlineLevel="1">
      <c r="A71" s="173"/>
      <c r="B71" s="61"/>
      <c r="C71" s="62"/>
      <c r="D71" s="62"/>
      <c r="E71" s="62"/>
      <c r="F71" s="62"/>
      <c r="G71" s="63"/>
      <c r="H71" s="62"/>
      <c r="I71" s="62"/>
      <c r="J71" s="62"/>
      <c r="K71" s="62"/>
      <c r="L71" s="284"/>
      <c r="M71" s="284"/>
      <c r="N71" s="284"/>
      <c r="O71" s="284"/>
      <c r="P71" s="64"/>
      <c r="Q71" s="65"/>
      <c r="R71" s="66"/>
      <c r="S71" s="67">
        <v>0</v>
      </c>
      <c r="T71" s="67">
        <v>0</v>
      </c>
      <c r="U71" s="310">
        <f t="shared" si="0"/>
        <v>0</v>
      </c>
      <c r="V71" s="92"/>
      <c r="W71" s="66"/>
      <c r="X71" s="93"/>
      <c r="Y71" s="66"/>
      <c r="Z71" s="66"/>
      <c r="AA71" s="66"/>
      <c r="AB71" s="66"/>
      <c r="AC71" s="68"/>
      <c r="AD71" s="66"/>
      <c r="AE71" s="66"/>
      <c r="AF71" s="66"/>
      <c r="AG71" s="66"/>
      <c r="AH71" s="66"/>
      <c r="AI71" s="66"/>
      <c r="AJ71" s="66"/>
      <c r="AK71" s="66"/>
      <c r="AM71" s="734">
        <f t="shared" si="5"/>
        <v>0</v>
      </c>
      <c r="AN71" s="305" t="e">
        <f>IF(assumptions!$B$13='VHFA Use'!$C$86,LOOKUP(1,V71:AB71,$V$5:$AB$5),"N/A")</f>
        <v>#N/A</v>
      </c>
    </row>
    <row r="72" spans="1:40" outlineLevel="1">
      <c r="A72" s="173"/>
      <c r="B72" s="61"/>
      <c r="C72" s="62"/>
      <c r="D72" s="62"/>
      <c r="E72" s="62"/>
      <c r="F72" s="62"/>
      <c r="G72" s="63"/>
      <c r="H72" s="62"/>
      <c r="I72" s="62"/>
      <c r="J72" s="62"/>
      <c r="K72" s="62"/>
      <c r="L72" s="284"/>
      <c r="M72" s="284"/>
      <c r="N72" s="284"/>
      <c r="O72" s="284"/>
      <c r="P72" s="64"/>
      <c r="Q72" s="65"/>
      <c r="R72" s="66"/>
      <c r="S72" s="67">
        <v>0</v>
      </c>
      <c r="T72" s="67">
        <v>0</v>
      </c>
      <c r="U72" s="310">
        <f t="shared" si="0"/>
        <v>0</v>
      </c>
      <c r="V72" s="92"/>
      <c r="W72" s="66"/>
      <c r="X72" s="93"/>
      <c r="Y72" s="66"/>
      <c r="Z72" s="66"/>
      <c r="AA72" s="66"/>
      <c r="AB72" s="66"/>
      <c r="AC72" s="68"/>
      <c r="AD72" s="66"/>
      <c r="AE72" s="66"/>
      <c r="AF72" s="66"/>
      <c r="AG72" s="66"/>
      <c r="AH72" s="66"/>
      <c r="AI72" s="66"/>
      <c r="AJ72" s="66"/>
      <c r="AK72" s="66"/>
      <c r="AM72" s="734">
        <f t="shared" si="5"/>
        <v>0</v>
      </c>
      <c r="AN72" s="305" t="e">
        <f>IF(assumptions!$B$13='VHFA Use'!$C$86,LOOKUP(1,V72:AB72,$V$5:$AB$5),"N/A")</f>
        <v>#N/A</v>
      </c>
    </row>
    <row r="73" spans="1:40" outlineLevel="1">
      <c r="A73" s="173"/>
      <c r="B73" s="61"/>
      <c r="C73" s="62"/>
      <c r="D73" s="62"/>
      <c r="E73" s="62"/>
      <c r="F73" s="62"/>
      <c r="G73" s="63"/>
      <c r="H73" s="62"/>
      <c r="I73" s="62"/>
      <c r="J73" s="62"/>
      <c r="K73" s="62"/>
      <c r="L73" s="284"/>
      <c r="M73" s="284"/>
      <c r="N73" s="284"/>
      <c r="O73" s="284"/>
      <c r="P73" s="64"/>
      <c r="Q73" s="65"/>
      <c r="R73" s="66"/>
      <c r="S73" s="67">
        <v>0</v>
      </c>
      <c r="T73" s="67">
        <v>0</v>
      </c>
      <c r="U73" s="310">
        <f t="shared" si="0"/>
        <v>0</v>
      </c>
      <c r="V73" s="92"/>
      <c r="W73" s="66"/>
      <c r="X73" s="93"/>
      <c r="Y73" s="66"/>
      <c r="Z73" s="66"/>
      <c r="AA73" s="66"/>
      <c r="AB73" s="66"/>
      <c r="AC73" s="68"/>
      <c r="AD73" s="66"/>
      <c r="AE73" s="66"/>
      <c r="AF73" s="66"/>
      <c r="AG73" s="66"/>
      <c r="AH73" s="66"/>
      <c r="AI73" s="66"/>
      <c r="AJ73" s="66"/>
      <c r="AK73" s="66"/>
      <c r="AM73" s="734">
        <f t="shared" si="5"/>
        <v>0</v>
      </c>
      <c r="AN73" s="305" t="e">
        <f>IF(assumptions!$B$13='VHFA Use'!$C$86,LOOKUP(1,V73:AB73,$V$5:$AB$5),"N/A")</f>
        <v>#N/A</v>
      </c>
    </row>
    <row r="74" spans="1:40" outlineLevel="1">
      <c r="A74" s="173"/>
      <c r="B74" s="61"/>
      <c r="C74" s="62"/>
      <c r="D74" s="62"/>
      <c r="E74" s="62"/>
      <c r="F74" s="62"/>
      <c r="G74" s="63"/>
      <c r="H74" s="62"/>
      <c r="I74" s="62"/>
      <c r="J74" s="62"/>
      <c r="K74" s="62"/>
      <c r="L74" s="284"/>
      <c r="M74" s="284"/>
      <c r="N74" s="284"/>
      <c r="O74" s="284"/>
      <c r="P74" s="64"/>
      <c r="Q74" s="65"/>
      <c r="R74" s="66"/>
      <c r="S74" s="67">
        <v>0</v>
      </c>
      <c r="T74" s="67">
        <v>0</v>
      </c>
      <c r="U74" s="310">
        <f t="shared" si="0"/>
        <v>0</v>
      </c>
      <c r="V74" s="92"/>
      <c r="W74" s="66"/>
      <c r="X74" s="93"/>
      <c r="Y74" s="66"/>
      <c r="Z74" s="66"/>
      <c r="AA74" s="66"/>
      <c r="AB74" s="66"/>
      <c r="AC74" s="68"/>
      <c r="AD74" s="66"/>
      <c r="AE74" s="66"/>
      <c r="AF74" s="66"/>
      <c r="AG74" s="66"/>
      <c r="AH74" s="66"/>
      <c r="AI74" s="66"/>
      <c r="AJ74" s="66"/>
      <c r="AK74" s="66"/>
      <c r="AM74" s="734">
        <f t="shared" si="5"/>
        <v>0</v>
      </c>
      <c r="AN74" s="305" t="e">
        <f>IF(assumptions!$B$13='VHFA Use'!$C$86,LOOKUP(1,V74:AB74,$V$5:$AB$5),"N/A")</f>
        <v>#N/A</v>
      </c>
    </row>
    <row r="75" spans="1:40" outlineLevel="1">
      <c r="A75" s="173"/>
      <c r="B75" s="61"/>
      <c r="C75" s="62"/>
      <c r="D75" s="62"/>
      <c r="E75" s="62"/>
      <c r="F75" s="62"/>
      <c r="G75" s="63"/>
      <c r="H75" s="62"/>
      <c r="I75" s="62"/>
      <c r="J75" s="62"/>
      <c r="K75" s="62"/>
      <c r="L75" s="284"/>
      <c r="M75" s="284"/>
      <c r="N75" s="284"/>
      <c r="O75" s="284"/>
      <c r="P75" s="64"/>
      <c r="Q75" s="65"/>
      <c r="R75" s="66"/>
      <c r="S75" s="67">
        <v>0</v>
      </c>
      <c r="T75" s="67">
        <v>0</v>
      </c>
      <c r="U75" s="310">
        <f t="shared" si="0"/>
        <v>0</v>
      </c>
      <c r="V75" s="92"/>
      <c r="W75" s="66"/>
      <c r="X75" s="93"/>
      <c r="Y75" s="66"/>
      <c r="Z75" s="66"/>
      <c r="AA75" s="66"/>
      <c r="AB75" s="66"/>
      <c r="AC75" s="68"/>
      <c r="AD75" s="66"/>
      <c r="AE75" s="66"/>
      <c r="AF75" s="66"/>
      <c r="AG75" s="66"/>
      <c r="AH75" s="66"/>
      <c r="AI75" s="66"/>
      <c r="AJ75" s="66"/>
      <c r="AK75" s="66"/>
      <c r="AM75" s="734">
        <f t="shared" si="5"/>
        <v>0</v>
      </c>
      <c r="AN75" s="305" t="e">
        <f>IF(assumptions!$B$13='VHFA Use'!$C$86,LOOKUP(1,V75:AB75,$V$5:$AB$5),"N/A")</f>
        <v>#N/A</v>
      </c>
    </row>
    <row r="76" spans="1:40" outlineLevel="1">
      <c r="A76" s="173"/>
      <c r="B76" s="61"/>
      <c r="C76" s="62"/>
      <c r="D76" s="62"/>
      <c r="E76" s="62"/>
      <c r="F76" s="62"/>
      <c r="G76" s="63"/>
      <c r="H76" s="62"/>
      <c r="I76" s="62"/>
      <c r="J76" s="62"/>
      <c r="K76" s="62"/>
      <c r="L76" s="284"/>
      <c r="M76" s="284"/>
      <c r="N76" s="284"/>
      <c r="O76" s="284"/>
      <c r="P76" s="64"/>
      <c r="Q76" s="65"/>
      <c r="R76" s="66"/>
      <c r="S76" s="67">
        <v>0</v>
      </c>
      <c r="T76" s="67">
        <v>0</v>
      </c>
      <c r="U76" s="310">
        <f t="shared" si="0"/>
        <v>0</v>
      </c>
      <c r="V76" s="92"/>
      <c r="W76" s="66"/>
      <c r="X76" s="93"/>
      <c r="Y76" s="66"/>
      <c r="Z76" s="66"/>
      <c r="AA76" s="66"/>
      <c r="AB76" s="66"/>
      <c r="AC76" s="68"/>
      <c r="AD76" s="66"/>
      <c r="AE76" s="66"/>
      <c r="AF76" s="66"/>
      <c r="AG76" s="66"/>
      <c r="AH76" s="66"/>
      <c r="AI76" s="66"/>
      <c r="AJ76" s="66"/>
      <c r="AK76" s="66"/>
      <c r="AM76" s="734">
        <f t="shared" si="5"/>
        <v>0</v>
      </c>
      <c r="AN76" s="305" t="e">
        <f>IF(assumptions!$B$13='VHFA Use'!$C$86,LOOKUP(1,V76:AB76,$V$5:$AB$5),"N/A")</f>
        <v>#N/A</v>
      </c>
    </row>
    <row r="77" spans="1:40" outlineLevel="1">
      <c r="A77" s="173"/>
      <c r="B77" s="61"/>
      <c r="C77" s="62"/>
      <c r="D77" s="62"/>
      <c r="E77" s="62"/>
      <c r="F77" s="62"/>
      <c r="G77" s="63"/>
      <c r="H77" s="62"/>
      <c r="I77" s="62"/>
      <c r="J77" s="62"/>
      <c r="K77" s="62"/>
      <c r="L77" s="284"/>
      <c r="M77" s="284"/>
      <c r="N77" s="284"/>
      <c r="O77" s="284"/>
      <c r="P77" s="64"/>
      <c r="Q77" s="65"/>
      <c r="R77" s="66"/>
      <c r="S77" s="67">
        <v>0</v>
      </c>
      <c r="T77" s="67">
        <v>0</v>
      </c>
      <c r="U77" s="310">
        <f t="shared" si="0"/>
        <v>0</v>
      </c>
      <c r="V77" s="92"/>
      <c r="W77" s="66"/>
      <c r="X77" s="93"/>
      <c r="Y77" s="66"/>
      <c r="Z77" s="66"/>
      <c r="AA77" s="66"/>
      <c r="AB77" s="66"/>
      <c r="AC77" s="68"/>
      <c r="AD77" s="66"/>
      <c r="AE77" s="66"/>
      <c r="AF77" s="66"/>
      <c r="AG77" s="66"/>
      <c r="AH77" s="66"/>
      <c r="AI77" s="66"/>
      <c r="AJ77" s="66"/>
      <c r="AK77" s="66"/>
      <c r="AM77" s="734">
        <f t="shared" si="5"/>
        <v>0</v>
      </c>
      <c r="AN77" s="305" t="e">
        <f>IF(assumptions!$B$13='VHFA Use'!$C$86,LOOKUP(1,V77:AB77,$V$5:$AB$5),"N/A")</f>
        <v>#N/A</v>
      </c>
    </row>
    <row r="78" spans="1:40" outlineLevel="1">
      <c r="A78" s="173"/>
      <c r="B78" s="61"/>
      <c r="C78" s="62"/>
      <c r="D78" s="62"/>
      <c r="E78" s="62"/>
      <c r="F78" s="62"/>
      <c r="G78" s="63"/>
      <c r="H78" s="62"/>
      <c r="I78" s="62"/>
      <c r="J78" s="62"/>
      <c r="K78" s="62"/>
      <c r="L78" s="284"/>
      <c r="M78" s="284"/>
      <c r="N78" s="284"/>
      <c r="O78" s="284"/>
      <c r="P78" s="64"/>
      <c r="Q78" s="65"/>
      <c r="R78" s="66"/>
      <c r="S78" s="67">
        <v>0</v>
      </c>
      <c r="T78" s="67">
        <v>0</v>
      </c>
      <c r="U78" s="310">
        <f t="shared" si="0"/>
        <v>0</v>
      </c>
      <c r="V78" s="92"/>
      <c r="W78" s="66"/>
      <c r="X78" s="93"/>
      <c r="Y78" s="66"/>
      <c r="Z78" s="66"/>
      <c r="AA78" s="66"/>
      <c r="AB78" s="66"/>
      <c r="AC78" s="68"/>
      <c r="AD78" s="66"/>
      <c r="AE78" s="66"/>
      <c r="AF78" s="66"/>
      <c r="AG78" s="66"/>
      <c r="AH78" s="66"/>
      <c r="AI78" s="66"/>
      <c r="AJ78" s="66"/>
      <c r="AK78" s="66"/>
      <c r="AM78" s="734">
        <f t="shared" si="5"/>
        <v>0</v>
      </c>
      <c r="AN78" s="305" t="e">
        <f>IF(assumptions!$B$13='VHFA Use'!$C$86,LOOKUP(1,V78:AB78,$V$5:$AB$5),"N/A")</f>
        <v>#N/A</v>
      </c>
    </row>
    <row r="79" spans="1:40" outlineLevel="1">
      <c r="A79" s="173"/>
      <c r="B79" s="61"/>
      <c r="C79" s="62"/>
      <c r="D79" s="62"/>
      <c r="E79" s="62"/>
      <c r="F79" s="62"/>
      <c r="G79" s="63"/>
      <c r="H79" s="62"/>
      <c r="I79" s="62"/>
      <c r="J79" s="62"/>
      <c r="K79" s="62"/>
      <c r="L79" s="284"/>
      <c r="M79" s="284"/>
      <c r="N79" s="284"/>
      <c r="O79" s="284"/>
      <c r="P79" s="64"/>
      <c r="Q79" s="65"/>
      <c r="R79" s="66"/>
      <c r="S79" s="67">
        <v>0</v>
      </c>
      <c r="T79" s="67">
        <v>0</v>
      </c>
      <c r="U79" s="310">
        <f t="shared" si="0"/>
        <v>0</v>
      </c>
      <c r="V79" s="92"/>
      <c r="W79" s="66"/>
      <c r="X79" s="93"/>
      <c r="Y79" s="66"/>
      <c r="Z79" s="66"/>
      <c r="AA79" s="66"/>
      <c r="AB79" s="66"/>
      <c r="AC79" s="68"/>
      <c r="AD79" s="66"/>
      <c r="AE79" s="66"/>
      <c r="AF79" s="66"/>
      <c r="AG79" s="66"/>
      <c r="AH79" s="66"/>
      <c r="AI79" s="66"/>
      <c r="AJ79" s="66"/>
      <c r="AK79" s="66"/>
      <c r="AM79" s="734">
        <f t="shared" si="5"/>
        <v>0</v>
      </c>
      <c r="AN79" s="305" t="e">
        <f>IF(assumptions!$B$13='VHFA Use'!$C$86,LOOKUP(1,V79:AB79,$V$5:$AB$5),"N/A")</f>
        <v>#N/A</v>
      </c>
    </row>
    <row r="80" spans="1:40" outlineLevel="1">
      <c r="A80" s="173"/>
      <c r="B80" s="61"/>
      <c r="C80" s="62"/>
      <c r="D80" s="62"/>
      <c r="E80" s="62"/>
      <c r="F80" s="62"/>
      <c r="G80" s="63"/>
      <c r="H80" s="62"/>
      <c r="I80" s="62"/>
      <c r="J80" s="62"/>
      <c r="K80" s="62"/>
      <c r="L80" s="284"/>
      <c r="M80" s="284"/>
      <c r="N80" s="284"/>
      <c r="O80" s="284"/>
      <c r="P80" s="64"/>
      <c r="Q80" s="65"/>
      <c r="R80" s="66"/>
      <c r="S80" s="67">
        <v>0</v>
      </c>
      <c r="T80" s="67">
        <v>0</v>
      </c>
      <c r="U80" s="310">
        <f t="shared" si="0"/>
        <v>0</v>
      </c>
      <c r="V80" s="92"/>
      <c r="W80" s="66"/>
      <c r="X80" s="93"/>
      <c r="Y80" s="66"/>
      <c r="Z80" s="66"/>
      <c r="AA80" s="66"/>
      <c r="AB80" s="66"/>
      <c r="AC80" s="68"/>
      <c r="AD80" s="66"/>
      <c r="AE80" s="66"/>
      <c r="AF80" s="66"/>
      <c r="AG80" s="66"/>
      <c r="AH80" s="66"/>
      <c r="AI80" s="66"/>
      <c r="AJ80" s="66"/>
      <c r="AK80" s="66"/>
      <c r="AM80" s="734">
        <f t="shared" si="5"/>
        <v>0</v>
      </c>
      <c r="AN80" s="305" t="e">
        <f>IF(assumptions!$B$13='VHFA Use'!$C$86,LOOKUP(1,V80:AB80,$V$5:$AB$5),"N/A")</f>
        <v>#N/A</v>
      </c>
    </row>
    <row r="81" spans="1:40" outlineLevel="1">
      <c r="A81" s="173"/>
      <c r="B81" s="61"/>
      <c r="C81" s="62"/>
      <c r="D81" s="62"/>
      <c r="E81" s="62"/>
      <c r="F81" s="62"/>
      <c r="G81" s="63"/>
      <c r="H81" s="62"/>
      <c r="I81" s="62"/>
      <c r="J81" s="62"/>
      <c r="K81" s="62"/>
      <c r="L81" s="284"/>
      <c r="M81" s="284"/>
      <c r="N81" s="284"/>
      <c r="O81" s="284"/>
      <c r="P81" s="64"/>
      <c r="Q81" s="65"/>
      <c r="R81" s="66"/>
      <c r="S81" s="67">
        <v>0</v>
      </c>
      <c r="T81" s="67">
        <v>0</v>
      </c>
      <c r="U81" s="310">
        <f t="shared" ref="U81:U99" si="6">S81+T81</f>
        <v>0</v>
      </c>
      <c r="V81" s="92"/>
      <c r="W81" s="66"/>
      <c r="X81" s="93"/>
      <c r="Y81" s="66"/>
      <c r="Z81" s="66"/>
      <c r="AA81" s="66"/>
      <c r="AB81" s="66"/>
      <c r="AC81" s="68"/>
      <c r="AD81" s="66"/>
      <c r="AE81" s="66"/>
      <c r="AF81" s="66"/>
      <c r="AG81" s="66"/>
      <c r="AH81" s="66"/>
      <c r="AI81" s="66"/>
      <c r="AJ81" s="66"/>
      <c r="AK81" s="66"/>
      <c r="AM81" s="734">
        <f t="shared" si="5"/>
        <v>0</v>
      </c>
      <c r="AN81" s="305" t="e">
        <f>IF(assumptions!$B$13='VHFA Use'!$C$86,LOOKUP(1,V81:AB81,$V$5:$AB$5),"N/A")</f>
        <v>#N/A</v>
      </c>
    </row>
    <row r="82" spans="1:40" outlineLevel="1">
      <c r="A82" s="173"/>
      <c r="B82" s="61"/>
      <c r="C82" s="62"/>
      <c r="D82" s="62"/>
      <c r="E82" s="62"/>
      <c r="F82" s="62"/>
      <c r="G82" s="63"/>
      <c r="H82" s="62"/>
      <c r="I82" s="62"/>
      <c r="J82" s="62"/>
      <c r="K82" s="62"/>
      <c r="L82" s="284"/>
      <c r="M82" s="284"/>
      <c r="N82" s="284"/>
      <c r="O82" s="284"/>
      <c r="P82" s="64"/>
      <c r="Q82" s="65"/>
      <c r="R82" s="66"/>
      <c r="S82" s="67">
        <v>0</v>
      </c>
      <c r="T82" s="67">
        <v>0</v>
      </c>
      <c r="U82" s="310">
        <f t="shared" si="6"/>
        <v>0</v>
      </c>
      <c r="V82" s="92"/>
      <c r="W82" s="66"/>
      <c r="X82" s="93"/>
      <c r="Y82" s="66"/>
      <c r="Z82" s="66"/>
      <c r="AA82" s="66"/>
      <c r="AB82" s="66"/>
      <c r="AC82" s="68"/>
      <c r="AD82" s="66"/>
      <c r="AE82" s="66"/>
      <c r="AF82" s="66"/>
      <c r="AG82" s="66"/>
      <c r="AH82" s="66"/>
      <c r="AI82" s="66"/>
      <c r="AJ82" s="66"/>
      <c r="AK82" s="66"/>
      <c r="AM82" s="734">
        <f t="shared" si="5"/>
        <v>0</v>
      </c>
      <c r="AN82" s="305" t="e">
        <f>IF(assumptions!$B$13='VHFA Use'!$C$86,LOOKUP(1,V82:AB82,$V$5:$AB$5),"N/A")</f>
        <v>#N/A</v>
      </c>
    </row>
    <row r="83" spans="1:40" outlineLevel="1">
      <c r="A83" s="173"/>
      <c r="B83" s="61"/>
      <c r="C83" s="62"/>
      <c r="D83" s="62"/>
      <c r="E83" s="62"/>
      <c r="F83" s="62"/>
      <c r="G83" s="63"/>
      <c r="H83" s="62"/>
      <c r="I83" s="62"/>
      <c r="J83" s="62"/>
      <c r="K83" s="62"/>
      <c r="L83" s="284"/>
      <c r="M83" s="284"/>
      <c r="N83" s="284"/>
      <c r="O83" s="284"/>
      <c r="P83" s="64"/>
      <c r="Q83" s="65"/>
      <c r="R83" s="66"/>
      <c r="S83" s="67">
        <v>0</v>
      </c>
      <c r="T83" s="67">
        <v>0</v>
      </c>
      <c r="U83" s="310">
        <f t="shared" si="6"/>
        <v>0</v>
      </c>
      <c r="V83" s="92"/>
      <c r="W83" s="66"/>
      <c r="X83" s="93"/>
      <c r="Y83" s="66"/>
      <c r="Z83" s="66"/>
      <c r="AA83" s="66"/>
      <c r="AB83" s="66"/>
      <c r="AC83" s="68"/>
      <c r="AD83" s="66"/>
      <c r="AE83" s="66"/>
      <c r="AF83" s="66"/>
      <c r="AG83" s="66"/>
      <c r="AH83" s="66"/>
      <c r="AI83" s="66"/>
      <c r="AJ83" s="66"/>
      <c r="AK83" s="66"/>
      <c r="AM83" s="734">
        <f t="shared" si="5"/>
        <v>0</v>
      </c>
      <c r="AN83" s="305" t="e">
        <f>IF(assumptions!$B$13='VHFA Use'!$C$86,LOOKUP(1,V83:AB83,$V$5:$AB$5),"N/A")</f>
        <v>#N/A</v>
      </c>
    </row>
    <row r="84" spans="1:40" outlineLevel="1">
      <c r="A84" s="173"/>
      <c r="B84" s="61"/>
      <c r="C84" s="62"/>
      <c r="D84" s="62"/>
      <c r="E84" s="62"/>
      <c r="F84" s="62"/>
      <c r="G84" s="63"/>
      <c r="H84" s="62"/>
      <c r="I84" s="62"/>
      <c r="J84" s="62"/>
      <c r="K84" s="62"/>
      <c r="L84" s="284"/>
      <c r="M84" s="284"/>
      <c r="N84" s="284"/>
      <c r="O84" s="284"/>
      <c r="P84" s="64"/>
      <c r="Q84" s="65"/>
      <c r="R84" s="66"/>
      <c r="S84" s="67">
        <v>0</v>
      </c>
      <c r="T84" s="67">
        <v>0</v>
      </c>
      <c r="U84" s="310">
        <f t="shared" si="6"/>
        <v>0</v>
      </c>
      <c r="V84" s="92"/>
      <c r="W84" s="66"/>
      <c r="X84" s="93"/>
      <c r="Y84" s="66"/>
      <c r="Z84" s="66"/>
      <c r="AA84" s="66"/>
      <c r="AB84" s="66"/>
      <c r="AC84" s="68"/>
      <c r="AD84" s="66"/>
      <c r="AE84" s="66"/>
      <c r="AF84" s="66"/>
      <c r="AG84" s="66"/>
      <c r="AH84" s="66"/>
      <c r="AI84" s="66"/>
      <c r="AJ84" s="66"/>
      <c r="AK84" s="66"/>
      <c r="AM84" s="734">
        <f t="shared" si="5"/>
        <v>0</v>
      </c>
      <c r="AN84" s="305" t="e">
        <f>IF(assumptions!$B$13='VHFA Use'!$C$86,LOOKUP(1,V84:AB84,$V$5:$AB$5),"N/A")</f>
        <v>#N/A</v>
      </c>
    </row>
    <row r="85" spans="1:40" outlineLevel="1">
      <c r="A85" s="173"/>
      <c r="B85" s="61"/>
      <c r="C85" s="62"/>
      <c r="D85" s="62"/>
      <c r="E85" s="62"/>
      <c r="F85" s="62"/>
      <c r="G85" s="63"/>
      <c r="H85" s="62"/>
      <c r="I85" s="62"/>
      <c r="J85" s="62"/>
      <c r="K85" s="62"/>
      <c r="L85" s="284"/>
      <c r="M85" s="284"/>
      <c r="N85" s="284"/>
      <c r="O85" s="284"/>
      <c r="P85" s="64"/>
      <c r="Q85" s="65"/>
      <c r="R85" s="66"/>
      <c r="S85" s="67">
        <v>0</v>
      </c>
      <c r="T85" s="67">
        <v>0</v>
      </c>
      <c r="U85" s="310">
        <f t="shared" si="6"/>
        <v>0</v>
      </c>
      <c r="V85" s="92"/>
      <c r="W85" s="66"/>
      <c r="X85" s="93"/>
      <c r="Y85" s="66"/>
      <c r="Z85" s="66"/>
      <c r="AA85" s="66"/>
      <c r="AB85" s="66"/>
      <c r="AC85" s="68"/>
      <c r="AD85" s="66"/>
      <c r="AE85" s="66"/>
      <c r="AF85" s="66"/>
      <c r="AG85" s="66"/>
      <c r="AH85" s="66"/>
      <c r="AI85" s="66"/>
      <c r="AJ85" s="66"/>
      <c r="AK85" s="66"/>
      <c r="AM85" s="734">
        <f t="shared" si="5"/>
        <v>0</v>
      </c>
      <c r="AN85" s="305" t="e">
        <f>IF(assumptions!$B$13='VHFA Use'!$C$86,LOOKUP(1,V85:AB85,$V$5:$AB$5),"N/A")</f>
        <v>#N/A</v>
      </c>
    </row>
    <row r="86" spans="1:40" outlineLevel="1">
      <c r="A86" s="173"/>
      <c r="B86" s="61"/>
      <c r="C86" s="62"/>
      <c r="D86" s="62"/>
      <c r="E86" s="62"/>
      <c r="F86" s="62"/>
      <c r="G86" s="63"/>
      <c r="H86" s="62"/>
      <c r="I86" s="62"/>
      <c r="J86" s="62"/>
      <c r="K86" s="62"/>
      <c r="L86" s="284"/>
      <c r="M86" s="284"/>
      <c r="N86" s="284"/>
      <c r="O86" s="284"/>
      <c r="P86" s="64"/>
      <c r="Q86" s="65"/>
      <c r="R86" s="66"/>
      <c r="S86" s="67">
        <v>0</v>
      </c>
      <c r="T86" s="67">
        <v>0</v>
      </c>
      <c r="U86" s="310">
        <f t="shared" si="6"/>
        <v>0</v>
      </c>
      <c r="V86" s="92"/>
      <c r="W86" s="66"/>
      <c r="X86" s="93"/>
      <c r="Y86" s="66"/>
      <c r="Z86" s="66"/>
      <c r="AA86" s="66"/>
      <c r="AB86" s="66"/>
      <c r="AC86" s="68"/>
      <c r="AD86" s="66"/>
      <c r="AE86" s="66"/>
      <c r="AF86" s="66"/>
      <c r="AG86" s="66"/>
      <c r="AH86" s="66"/>
      <c r="AI86" s="66"/>
      <c r="AJ86" s="66"/>
      <c r="AK86" s="66"/>
      <c r="AM86" s="734">
        <f t="shared" si="5"/>
        <v>0</v>
      </c>
      <c r="AN86" s="305" t="e">
        <f>IF(assumptions!$B$13='VHFA Use'!$C$86,LOOKUP(1,V86:AB86,$V$5:$AB$5),"N/A")</f>
        <v>#N/A</v>
      </c>
    </row>
    <row r="87" spans="1:40" outlineLevel="1">
      <c r="A87" s="173"/>
      <c r="B87" s="69"/>
      <c r="C87" s="62"/>
      <c r="D87" s="62"/>
      <c r="E87" s="62"/>
      <c r="F87" s="62"/>
      <c r="G87" s="63"/>
      <c r="H87" s="62"/>
      <c r="I87" s="62"/>
      <c r="J87" s="62"/>
      <c r="K87" s="62"/>
      <c r="L87" s="284"/>
      <c r="M87" s="284"/>
      <c r="N87" s="284"/>
      <c r="O87" s="284"/>
      <c r="P87" s="64"/>
      <c r="Q87" s="65"/>
      <c r="R87" s="66"/>
      <c r="S87" s="67">
        <v>0</v>
      </c>
      <c r="T87" s="67">
        <v>0</v>
      </c>
      <c r="U87" s="310">
        <f t="shared" si="6"/>
        <v>0</v>
      </c>
      <c r="V87" s="92"/>
      <c r="W87" s="66"/>
      <c r="X87" s="93"/>
      <c r="Y87" s="66"/>
      <c r="Z87" s="66"/>
      <c r="AA87" s="66"/>
      <c r="AB87" s="66"/>
      <c r="AC87" s="68"/>
      <c r="AD87" s="66"/>
      <c r="AE87" s="66"/>
      <c r="AF87" s="66"/>
      <c r="AG87" s="66"/>
      <c r="AH87" s="66"/>
      <c r="AI87" s="66"/>
      <c r="AJ87" s="66"/>
      <c r="AK87" s="66"/>
      <c r="AM87" s="734">
        <f t="shared" si="5"/>
        <v>0</v>
      </c>
      <c r="AN87" s="305" t="e">
        <f>IF(assumptions!$B$13='VHFA Use'!$C$86,LOOKUP(1,V87:AB87,$V$5:$AB$5),"N/A")</f>
        <v>#N/A</v>
      </c>
    </row>
    <row r="88" spans="1:40" outlineLevel="1">
      <c r="A88" s="173"/>
      <c r="B88" s="69"/>
      <c r="C88" s="62"/>
      <c r="D88" s="62"/>
      <c r="E88" s="62"/>
      <c r="F88" s="62"/>
      <c r="G88" s="63"/>
      <c r="H88" s="62"/>
      <c r="I88" s="62"/>
      <c r="J88" s="62"/>
      <c r="K88" s="62"/>
      <c r="L88" s="284"/>
      <c r="M88" s="284"/>
      <c r="N88" s="284"/>
      <c r="O88" s="284"/>
      <c r="P88" s="64"/>
      <c r="Q88" s="65"/>
      <c r="R88" s="66"/>
      <c r="S88" s="67">
        <v>0</v>
      </c>
      <c r="T88" s="67">
        <v>0</v>
      </c>
      <c r="U88" s="310">
        <f t="shared" si="6"/>
        <v>0</v>
      </c>
      <c r="V88" s="92"/>
      <c r="W88" s="66"/>
      <c r="X88" s="93"/>
      <c r="Y88" s="66"/>
      <c r="Z88" s="66"/>
      <c r="AA88" s="66"/>
      <c r="AB88" s="66"/>
      <c r="AC88" s="68"/>
      <c r="AD88" s="66"/>
      <c r="AE88" s="66"/>
      <c r="AF88" s="66"/>
      <c r="AG88" s="66"/>
      <c r="AH88" s="66"/>
      <c r="AI88" s="66"/>
      <c r="AJ88" s="66"/>
      <c r="AK88" s="66"/>
      <c r="AM88" s="734">
        <f t="shared" si="5"/>
        <v>0</v>
      </c>
      <c r="AN88" s="305" t="e">
        <f>IF(assumptions!$B$13='VHFA Use'!$C$86,LOOKUP(1,V88:AB88,$V$5:$AB$5),"N/A")</f>
        <v>#N/A</v>
      </c>
    </row>
    <row r="89" spans="1:40" outlineLevel="1">
      <c r="A89" s="173"/>
      <c r="B89" s="69"/>
      <c r="C89" s="62"/>
      <c r="D89" s="62"/>
      <c r="E89" s="62"/>
      <c r="F89" s="62"/>
      <c r="G89" s="63"/>
      <c r="H89" s="62"/>
      <c r="I89" s="62"/>
      <c r="J89" s="62"/>
      <c r="K89" s="62"/>
      <c r="L89" s="284"/>
      <c r="M89" s="284"/>
      <c r="N89" s="284"/>
      <c r="O89" s="284"/>
      <c r="P89" s="64"/>
      <c r="Q89" s="65"/>
      <c r="R89" s="66"/>
      <c r="S89" s="67">
        <v>0</v>
      </c>
      <c r="T89" s="67">
        <v>0</v>
      </c>
      <c r="U89" s="310">
        <f t="shared" si="6"/>
        <v>0</v>
      </c>
      <c r="V89" s="92"/>
      <c r="W89" s="66"/>
      <c r="X89" s="93"/>
      <c r="Y89" s="66"/>
      <c r="Z89" s="66"/>
      <c r="AA89" s="66"/>
      <c r="AB89" s="66"/>
      <c r="AC89" s="68"/>
      <c r="AD89" s="66"/>
      <c r="AE89" s="66"/>
      <c r="AF89" s="66"/>
      <c r="AG89" s="66"/>
      <c r="AH89" s="66"/>
      <c r="AI89" s="66"/>
      <c r="AJ89" s="66"/>
      <c r="AK89" s="66"/>
      <c r="AM89" s="734">
        <f t="shared" si="5"/>
        <v>0</v>
      </c>
      <c r="AN89" s="305" t="e">
        <f>IF(assumptions!$B$13='VHFA Use'!$C$86,LOOKUP(1,V89:AB89,$V$5:$AB$5),"N/A")</f>
        <v>#N/A</v>
      </c>
    </row>
    <row r="90" spans="1:40" outlineLevel="1">
      <c r="A90" s="173"/>
      <c r="B90" s="69"/>
      <c r="C90" s="62"/>
      <c r="D90" s="62"/>
      <c r="E90" s="62"/>
      <c r="F90" s="62"/>
      <c r="G90" s="63"/>
      <c r="H90" s="62"/>
      <c r="I90" s="62"/>
      <c r="J90" s="62"/>
      <c r="K90" s="62"/>
      <c r="L90" s="284"/>
      <c r="M90" s="284"/>
      <c r="N90" s="284"/>
      <c r="O90" s="284"/>
      <c r="P90" s="64"/>
      <c r="Q90" s="65"/>
      <c r="R90" s="66"/>
      <c r="S90" s="67">
        <v>0</v>
      </c>
      <c r="T90" s="67">
        <v>0</v>
      </c>
      <c r="U90" s="310">
        <f t="shared" si="6"/>
        <v>0</v>
      </c>
      <c r="V90" s="92"/>
      <c r="W90" s="66"/>
      <c r="X90" s="93"/>
      <c r="Y90" s="66"/>
      <c r="Z90" s="66"/>
      <c r="AA90" s="66"/>
      <c r="AB90" s="66"/>
      <c r="AC90" s="68"/>
      <c r="AD90" s="66"/>
      <c r="AE90" s="66"/>
      <c r="AF90" s="66"/>
      <c r="AG90" s="66"/>
      <c r="AH90" s="66"/>
      <c r="AI90" s="66"/>
      <c r="AJ90" s="66"/>
      <c r="AK90" s="66"/>
      <c r="AM90" s="734">
        <f t="shared" si="5"/>
        <v>0</v>
      </c>
      <c r="AN90" s="305" t="e">
        <f>IF(assumptions!$B$13='VHFA Use'!$C$86,LOOKUP(1,V90:AB90,$V$5:$AB$5),"N/A")</f>
        <v>#N/A</v>
      </c>
    </row>
    <row r="91" spans="1:40" outlineLevel="1">
      <c r="A91" s="173"/>
      <c r="B91" s="69"/>
      <c r="C91" s="62"/>
      <c r="D91" s="62"/>
      <c r="E91" s="62"/>
      <c r="F91" s="62"/>
      <c r="G91" s="63"/>
      <c r="H91" s="62"/>
      <c r="I91" s="62"/>
      <c r="J91" s="62"/>
      <c r="K91" s="62"/>
      <c r="L91" s="284"/>
      <c r="M91" s="284"/>
      <c r="N91" s="284"/>
      <c r="O91" s="284"/>
      <c r="P91" s="64"/>
      <c r="Q91" s="65"/>
      <c r="R91" s="66"/>
      <c r="S91" s="67">
        <v>0</v>
      </c>
      <c r="T91" s="67">
        <v>0</v>
      </c>
      <c r="U91" s="310">
        <f t="shared" si="6"/>
        <v>0</v>
      </c>
      <c r="V91" s="92"/>
      <c r="W91" s="66"/>
      <c r="X91" s="93"/>
      <c r="Y91" s="66"/>
      <c r="Z91" s="66"/>
      <c r="AA91" s="66"/>
      <c r="AB91" s="66"/>
      <c r="AC91" s="68"/>
      <c r="AD91" s="66"/>
      <c r="AE91" s="66"/>
      <c r="AF91" s="66"/>
      <c r="AG91" s="66"/>
      <c r="AH91" s="66"/>
      <c r="AI91" s="66"/>
      <c r="AJ91" s="66"/>
      <c r="AK91" s="66"/>
      <c r="AM91" s="734">
        <f t="shared" si="5"/>
        <v>0</v>
      </c>
      <c r="AN91" s="305" t="e">
        <f>IF(assumptions!$B$13='VHFA Use'!$C$86,LOOKUP(1,V91:AB91,$V$5:$AB$5),"N/A")</f>
        <v>#N/A</v>
      </c>
    </row>
    <row r="92" spans="1:40" outlineLevel="1">
      <c r="A92" s="173"/>
      <c r="B92" s="69"/>
      <c r="C92" s="62"/>
      <c r="D92" s="62"/>
      <c r="E92" s="62"/>
      <c r="F92" s="62"/>
      <c r="G92" s="63"/>
      <c r="H92" s="62"/>
      <c r="I92" s="62"/>
      <c r="J92" s="62"/>
      <c r="K92" s="62"/>
      <c r="L92" s="284"/>
      <c r="M92" s="284"/>
      <c r="N92" s="284"/>
      <c r="O92" s="284"/>
      <c r="P92" s="64"/>
      <c r="Q92" s="65"/>
      <c r="R92" s="66"/>
      <c r="S92" s="67">
        <v>0</v>
      </c>
      <c r="T92" s="67">
        <v>0</v>
      </c>
      <c r="U92" s="310">
        <f t="shared" si="6"/>
        <v>0</v>
      </c>
      <c r="V92" s="92"/>
      <c r="W92" s="66"/>
      <c r="X92" s="93"/>
      <c r="Y92" s="66"/>
      <c r="Z92" s="66"/>
      <c r="AA92" s="66"/>
      <c r="AB92" s="66"/>
      <c r="AC92" s="68"/>
      <c r="AD92" s="66"/>
      <c r="AE92" s="66"/>
      <c r="AF92" s="66"/>
      <c r="AG92" s="66"/>
      <c r="AH92" s="66"/>
      <c r="AI92" s="66"/>
      <c r="AJ92" s="66"/>
      <c r="AK92" s="66"/>
      <c r="AM92" s="734">
        <f t="shared" si="5"/>
        <v>0</v>
      </c>
      <c r="AN92" s="305" t="e">
        <f>IF(assumptions!$B$13='VHFA Use'!$C$86,LOOKUP(1,V92:AB92,$V$5:$AB$5),"N/A")</f>
        <v>#N/A</v>
      </c>
    </row>
    <row r="93" spans="1:40" outlineLevel="1">
      <c r="A93" s="173"/>
      <c r="B93" s="69"/>
      <c r="C93" s="62"/>
      <c r="D93" s="62"/>
      <c r="E93" s="62"/>
      <c r="F93" s="62"/>
      <c r="G93" s="63"/>
      <c r="H93" s="62"/>
      <c r="I93" s="62"/>
      <c r="J93" s="62"/>
      <c r="K93" s="62"/>
      <c r="L93" s="284"/>
      <c r="M93" s="284"/>
      <c r="N93" s="284"/>
      <c r="O93" s="284"/>
      <c r="P93" s="64"/>
      <c r="Q93" s="65"/>
      <c r="R93" s="66"/>
      <c r="S93" s="67">
        <v>0</v>
      </c>
      <c r="T93" s="67">
        <v>0</v>
      </c>
      <c r="U93" s="310">
        <f t="shared" si="6"/>
        <v>0</v>
      </c>
      <c r="V93" s="92"/>
      <c r="W93" s="66"/>
      <c r="X93" s="93"/>
      <c r="Y93" s="66"/>
      <c r="Z93" s="66"/>
      <c r="AA93" s="66"/>
      <c r="AB93" s="66"/>
      <c r="AC93" s="68"/>
      <c r="AD93" s="66"/>
      <c r="AE93" s="66"/>
      <c r="AF93" s="66"/>
      <c r="AG93" s="66"/>
      <c r="AH93" s="66"/>
      <c r="AI93" s="66"/>
      <c r="AJ93" s="66"/>
      <c r="AK93" s="66"/>
      <c r="AM93" s="734">
        <f t="shared" si="5"/>
        <v>0</v>
      </c>
      <c r="AN93" s="305" t="e">
        <f>IF(assumptions!$B$13='VHFA Use'!$C$86,LOOKUP(1,V93:AB93,$V$5:$AB$5),"N/A")</f>
        <v>#N/A</v>
      </c>
    </row>
    <row r="94" spans="1:40" outlineLevel="1">
      <c r="A94" s="173"/>
      <c r="B94" s="69"/>
      <c r="C94" s="62"/>
      <c r="D94" s="62"/>
      <c r="E94" s="62"/>
      <c r="F94" s="62"/>
      <c r="G94" s="63"/>
      <c r="H94" s="62"/>
      <c r="I94" s="62"/>
      <c r="J94" s="62"/>
      <c r="K94" s="62"/>
      <c r="L94" s="284"/>
      <c r="M94" s="284"/>
      <c r="N94" s="284"/>
      <c r="O94" s="284"/>
      <c r="P94" s="64"/>
      <c r="Q94" s="65"/>
      <c r="R94" s="66"/>
      <c r="S94" s="67">
        <v>0</v>
      </c>
      <c r="T94" s="67">
        <v>0</v>
      </c>
      <c r="U94" s="310">
        <f t="shared" si="6"/>
        <v>0</v>
      </c>
      <c r="V94" s="92"/>
      <c r="W94" s="66"/>
      <c r="X94" s="93"/>
      <c r="Y94" s="66"/>
      <c r="Z94" s="66"/>
      <c r="AA94" s="66"/>
      <c r="AB94" s="66"/>
      <c r="AC94" s="68"/>
      <c r="AD94" s="66"/>
      <c r="AE94" s="66"/>
      <c r="AF94" s="66"/>
      <c r="AG94" s="66"/>
      <c r="AH94" s="66"/>
      <c r="AI94" s="66"/>
      <c r="AJ94" s="66"/>
      <c r="AK94" s="66"/>
      <c r="AM94" s="734">
        <f t="shared" si="5"/>
        <v>0</v>
      </c>
      <c r="AN94" s="305" t="e">
        <f>IF(assumptions!$B$13='VHFA Use'!$C$86,LOOKUP(1,V94:AB94,$V$5:$AB$5),"N/A")</f>
        <v>#N/A</v>
      </c>
    </row>
    <row r="95" spans="1:40" outlineLevel="1">
      <c r="A95" s="173"/>
      <c r="B95" s="69"/>
      <c r="C95" s="62"/>
      <c r="D95" s="62"/>
      <c r="E95" s="62"/>
      <c r="F95" s="62"/>
      <c r="G95" s="63"/>
      <c r="H95" s="62"/>
      <c r="I95" s="62"/>
      <c r="J95" s="62"/>
      <c r="K95" s="62"/>
      <c r="L95" s="284"/>
      <c r="M95" s="284"/>
      <c r="N95" s="284"/>
      <c r="O95" s="284"/>
      <c r="P95" s="64"/>
      <c r="Q95" s="65"/>
      <c r="R95" s="66"/>
      <c r="S95" s="67">
        <v>0</v>
      </c>
      <c r="T95" s="67">
        <v>0</v>
      </c>
      <c r="U95" s="310">
        <f t="shared" si="6"/>
        <v>0</v>
      </c>
      <c r="V95" s="92"/>
      <c r="W95" s="66"/>
      <c r="X95" s="93"/>
      <c r="Y95" s="66"/>
      <c r="Z95" s="66"/>
      <c r="AA95" s="66"/>
      <c r="AB95" s="66"/>
      <c r="AC95" s="68"/>
      <c r="AD95" s="66"/>
      <c r="AE95" s="66"/>
      <c r="AF95" s="66"/>
      <c r="AG95" s="66"/>
      <c r="AH95" s="66"/>
      <c r="AI95" s="66"/>
      <c r="AJ95" s="66"/>
      <c r="AK95" s="66"/>
      <c r="AM95" s="734">
        <f t="shared" si="5"/>
        <v>0</v>
      </c>
      <c r="AN95" s="305" t="e">
        <f>IF(assumptions!$B$13='VHFA Use'!$C$86,LOOKUP(1,V95:AB95,$V$5:$AB$5),"N/A")</f>
        <v>#N/A</v>
      </c>
    </row>
    <row r="96" spans="1:40" outlineLevel="1">
      <c r="A96" s="173"/>
      <c r="B96" s="69"/>
      <c r="C96" s="62"/>
      <c r="D96" s="62"/>
      <c r="E96" s="62"/>
      <c r="F96" s="62"/>
      <c r="G96" s="63"/>
      <c r="H96" s="62"/>
      <c r="I96" s="62"/>
      <c r="J96" s="62"/>
      <c r="K96" s="62"/>
      <c r="L96" s="284"/>
      <c r="M96" s="284"/>
      <c r="N96" s="284"/>
      <c r="O96" s="284"/>
      <c r="P96" s="64"/>
      <c r="Q96" s="65"/>
      <c r="R96" s="66"/>
      <c r="S96" s="67">
        <v>0</v>
      </c>
      <c r="T96" s="67">
        <v>0</v>
      </c>
      <c r="U96" s="310">
        <f t="shared" si="6"/>
        <v>0</v>
      </c>
      <c r="V96" s="92"/>
      <c r="W96" s="66"/>
      <c r="X96" s="93"/>
      <c r="Y96" s="66"/>
      <c r="Z96" s="66"/>
      <c r="AA96" s="66"/>
      <c r="AB96" s="66"/>
      <c r="AC96" s="68"/>
      <c r="AD96" s="66"/>
      <c r="AE96" s="66"/>
      <c r="AF96" s="66"/>
      <c r="AG96" s="66"/>
      <c r="AH96" s="66"/>
      <c r="AI96" s="66"/>
      <c r="AJ96" s="66"/>
      <c r="AK96" s="66"/>
      <c r="AM96" s="734">
        <f t="shared" si="5"/>
        <v>0</v>
      </c>
      <c r="AN96" s="305" t="e">
        <f>IF(assumptions!$B$13='VHFA Use'!$C$86,LOOKUP(1,V96:AB96,$V$5:$AB$5),"N/A")</f>
        <v>#N/A</v>
      </c>
    </row>
    <row r="97" spans="1:40" outlineLevel="1">
      <c r="A97" s="173"/>
      <c r="B97" s="69"/>
      <c r="C97" s="62"/>
      <c r="D97" s="62"/>
      <c r="E97" s="62"/>
      <c r="F97" s="62"/>
      <c r="G97" s="63"/>
      <c r="H97" s="62"/>
      <c r="I97" s="62"/>
      <c r="J97" s="62"/>
      <c r="K97" s="62"/>
      <c r="L97" s="284"/>
      <c r="M97" s="284"/>
      <c r="N97" s="284"/>
      <c r="O97" s="284"/>
      <c r="P97" s="64"/>
      <c r="Q97" s="65"/>
      <c r="R97" s="66"/>
      <c r="S97" s="67">
        <v>0</v>
      </c>
      <c r="T97" s="67">
        <v>0</v>
      </c>
      <c r="U97" s="310">
        <f t="shared" si="6"/>
        <v>0</v>
      </c>
      <c r="V97" s="92"/>
      <c r="W97" s="66"/>
      <c r="X97" s="93"/>
      <c r="Y97" s="66"/>
      <c r="Z97" s="66"/>
      <c r="AA97" s="66"/>
      <c r="AB97" s="66"/>
      <c r="AC97" s="68"/>
      <c r="AD97" s="66"/>
      <c r="AE97" s="66"/>
      <c r="AF97" s="66"/>
      <c r="AG97" s="66"/>
      <c r="AH97" s="66"/>
      <c r="AI97" s="66"/>
      <c r="AJ97" s="66"/>
      <c r="AK97" s="66"/>
      <c r="AM97" s="734">
        <f t="shared" si="5"/>
        <v>0</v>
      </c>
      <c r="AN97" s="305" t="e">
        <f>IF(assumptions!$B$13='VHFA Use'!$C$86,LOOKUP(1,V97:AB97,$V$5:$AB$5),"N/A")</f>
        <v>#N/A</v>
      </c>
    </row>
    <row r="98" spans="1:40" outlineLevel="1">
      <c r="A98" s="173"/>
      <c r="B98" s="69"/>
      <c r="C98" s="62"/>
      <c r="D98" s="62"/>
      <c r="E98" s="62"/>
      <c r="F98" s="62"/>
      <c r="G98" s="63"/>
      <c r="H98" s="62"/>
      <c r="I98" s="62"/>
      <c r="J98" s="62"/>
      <c r="K98" s="62"/>
      <c r="L98" s="284"/>
      <c r="M98" s="284"/>
      <c r="N98" s="284"/>
      <c r="O98" s="284"/>
      <c r="P98" s="64"/>
      <c r="Q98" s="65"/>
      <c r="R98" s="66"/>
      <c r="S98" s="67">
        <v>0</v>
      </c>
      <c r="T98" s="67">
        <v>0</v>
      </c>
      <c r="U98" s="310">
        <f t="shared" si="6"/>
        <v>0</v>
      </c>
      <c r="V98" s="92"/>
      <c r="W98" s="66"/>
      <c r="X98" s="93"/>
      <c r="Y98" s="66"/>
      <c r="Z98" s="66"/>
      <c r="AA98" s="66"/>
      <c r="AB98" s="66"/>
      <c r="AC98" s="68"/>
      <c r="AD98" s="66"/>
      <c r="AE98" s="66"/>
      <c r="AF98" s="66"/>
      <c r="AG98" s="66"/>
      <c r="AH98" s="66"/>
      <c r="AI98" s="66"/>
      <c r="AJ98" s="66"/>
      <c r="AK98" s="66"/>
      <c r="AM98" s="734">
        <f t="shared" si="5"/>
        <v>0</v>
      </c>
      <c r="AN98" s="305" t="e">
        <f>IF(assumptions!$B$13='VHFA Use'!$C$86,LOOKUP(1,V98:AB98,$V$5:$AB$5),"N/A")</f>
        <v>#N/A</v>
      </c>
    </row>
    <row r="99" spans="1:40" outlineLevel="1">
      <c r="A99" s="173"/>
      <c r="B99" s="69"/>
      <c r="C99" s="62"/>
      <c r="D99" s="62"/>
      <c r="E99" s="62"/>
      <c r="F99" s="62"/>
      <c r="G99" s="63"/>
      <c r="H99" s="62"/>
      <c r="I99" s="62"/>
      <c r="J99" s="62"/>
      <c r="K99" s="62"/>
      <c r="L99" s="284"/>
      <c r="M99" s="284"/>
      <c r="N99" s="284"/>
      <c r="O99" s="284"/>
      <c r="P99" s="64"/>
      <c r="Q99" s="65"/>
      <c r="R99" s="66"/>
      <c r="S99" s="67">
        <v>0</v>
      </c>
      <c r="T99" s="67">
        <v>0</v>
      </c>
      <c r="U99" s="310">
        <f t="shared" si="6"/>
        <v>0</v>
      </c>
      <c r="V99" s="92"/>
      <c r="W99" s="66"/>
      <c r="X99" s="93"/>
      <c r="Y99" s="66"/>
      <c r="Z99" s="66"/>
      <c r="AA99" s="66"/>
      <c r="AB99" s="66"/>
      <c r="AC99" s="68"/>
      <c r="AD99" s="66"/>
      <c r="AE99" s="66"/>
      <c r="AF99" s="66"/>
      <c r="AG99" s="66"/>
      <c r="AH99" s="66"/>
      <c r="AI99" s="66"/>
      <c r="AJ99" s="66"/>
      <c r="AK99" s="66"/>
      <c r="AM99" s="734">
        <f t="shared" si="5"/>
        <v>0</v>
      </c>
      <c r="AN99" s="305" t="e">
        <f>IF(assumptions!$B$13='VHFA Use'!$C$86,LOOKUP(1,V99:AB99,$V$5:$AB$5),"N/A")</f>
        <v>#N/A</v>
      </c>
    </row>
    <row r="100" spans="1:40">
      <c r="A100" s="70" t="s">
        <v>560</v>
      </c>
      <c r="B100" s="71"/>
      <c r="C100" s="70"/>
      <c r="D100" s="66"/>
      <c r="E100" s="66"/>
      <c r="F100" s="66"/>
      <c r="G100" s="72"/>
      <c r="H100" s="66"/>
      <c r="I100" s="66"/>
      <c r="J100" s="66"/>
      <c r="K100" s="66"/>
      <c r="L100" s="285"/>
      <c r="M100" s="285"/>
      <c r="N100" s="285"/>
      <c r="O100" s="285"/>
      <c r="P100" s="68"/>
      <c r="Q100" s="65"/>
      <c r="R100" s="66"/>
      <c r="S100" s="67">
        <v>0</v>
      </c>
      <c r="T100" s="67">
        <v>0</v>
      </c>
      <c r="U100" s="310">
        <v>0</v>
      </c>
      <c r="V100" s="92"/>
      <c r="W100" s="66"/>
      <c r="X100" s="93"/>
      <c r="Y100" s="66"/>
      <c r="Z100" s="66"/>
      <c r="AA100" s="66"/>
      <c r="AB100" s="66"/>
      <c r="AC100" s="68"/>
      <c r="AD100" s="66"/>
      <c r="AE100" s="66"/>
      <c r="AF100" s="66"/>
      <c r="AG100" s="66"/>
      <c r="AH100" s="66"/>
      <c r="AI100" s="66"/>
      <c r="AJ100" s="66"/>
      <c r="AK100" s="66"/>
      <c r="AM100" s="734"/>
      <c r="AN100" s="589"/>
    </row>
    <row r="101" spans="1:40" s="663" customFormat="1" ht="57" customHeight="1">
      <c r="A101" s="735" t="s">
        <v>561</v>
      </c>
      <c r="B101" s="736">
        <f>COUNTA(B6:B99)</f>
        <v>0</v>
      </c>
      <c r="C101" s="737">
        <f t="shared" ref="C101:K101" si="7">SUM(C6:C99)</f>
        <v>0</v>
      </c>
      <c r="D101" s="737">
        <f t="shared" si="7"/>
        <v>0</v>
      </c>
      <c r="E101" s="737">
        <f t="shared" si="7"/>
        <v>0</v>
      </c>
      <c r="F101" s="737">
        <f t="shared" si="7"/>
        <v>0</v>
      </c>
      <c r="G101" s="737">
        <f t="shared" si="7"/>
        <v>0</v>
      </c>
      <c r="H101" s="737">
        <f t="shared" si="7"/>
        <v>0</v>
      </c>
      <c r="I101" s="737">
        <f t="shared" si="7"/>
        <v>0</v>
      </c>
      <c r="J101" s="737"/>
      <c r="K101" s="737">
        <f t="shared" si="7"/>
        <v>0</v>
      </c>
      <c r="L101" s="737">
        <f t="shared" ref="L101" si="8">SUM(L6:L99)</f>
        <v>0</v>
      </c>
      <c r="M101" s="737">
        <f>SUM(M6:M99)</f>
        <v>0</v>
      </c>
      <c r="N101" s="737"/>
      <c r="O101" s="737">
        <f>SUM(O6:O99)</f>
        <v>0</v>
      </c>
      <c r="P101" s="737">
        <f>SUM(P6:P99)</f>
        <v>0</v>
      </c>
      <c r="Q101" s="738" t="s">
        <v>562</v>
      </c>
      <c r="R101" s="128">
        <f>SUM(R6:R99)</f>
        <v>0</v>
      </c>
      <c r="S101" s="739"/>
      <c r="T101" s="740" t="s">
        <v>563</v>
      </c>
      <c r="U101" s="741"/>
      <c r="V101" s="737">
        <f>COUNTIF(V6:V99,"&gt;0")</f>
        <v>0</v>
      </c>
      <c r="W101" s="737">
        <f>COUNTIF(W6:W99,"&gt;0")</f>
        <v>0</v>
      </c>
      <c r="X101" s="737">
        <f t="shared" ref="X101:AK101" si="9">COUNTIF(X6:X99,"&gt;0")</f>
        <v>0</v>
      </c>
      <c r="Y101" s="737">
        <f t="shared" si="9"/>
        <v>0</v>
      </c>
      <c r="Z101" s="737">
        <f t="shared" si="9"/>
        <v>0</v>
      </c>
      <c r="AA101" s="737">
        <f t="shared" si="9"/>
        <v>0</v>
      </c>
      <c r="AB101" s="737">
        <f t="shared" si="9"/>
        <v>0</v>
      </c>
      <c r="AC101" s="737">
        <f t="shared" si="9"/>
        <v>0</v>
      </c>
      <c r="AD101" s="737">
        <f t="shared" si="9"/>
        <v>0</v>
      </c>
      <c r="AE101" s="737">
        <f t="shared" si="9"/>
        <v>0</v>
      </c>
      <c r="AF101" s="737">
        <f t="shared" si="9"/>
        <v>0</v>
      </c>
      <c r="AG101" s="737">
        <f t="shared" si="9"/>
        <v>0</v>
      </c>
      <c r="AH101" s="737">
        <f t="shared" si="9"/>
        <v>0</v>
      </c>
      <c r="AI101" s="737">
        <f>COUNTIF(AI6:AI99,"&gt;0")</f>
        <v>0</v>
      </c>
      <c r="AJ101" s="737">
        <f t="shared" si="9"/>
        <v>0</v>
      </c>
      <c r="AK101" s="737">
        <f t="shared" si="9"/>
        <v>0</v>
      </c>
      <c r="AM101" s="129">
        <f>SUM(AM6:AM100)</f>
        <v>0</v>
      </c>
      <c r="AN101" s="306" t="e">
        <f>IF(assumptions!B13='VHFA Use'!$C$86,AVERAGEIF(AM6:AM99,"&gt;0",AN6:AN99),"N/A")</f>
        <v>#DIV/0!</v>
      </c>
    </row>
    <row r="102" spans="1:40" ht="42.75" customHeight="1">
      <c r="G102" s="742" t="s">
        <v>564</v>
      </c>
      <c r="H102" s="742"/>
      <c r="I102" s="742"/>
      <c r="J102" s="742"/>
      <c r="K102" s="742"/>
      <c r="L102" s="742"/>
      <c r="M102" s="742"/>
      <c r="N102" s="742"/>
      <c r="O102" s="742"/>
      <c r="P102" s="742"/>
      <c r="Q102" s="742"/>
      <c r="R102" s="72"/>
      <c r="AB102" s="591"/>
    </row>
    <row r="103" spans="1:40" ht="28.2" customHeight="1">
      <c r="G103" s="743" t="s">
        <v>565</v>
      </c>
      <c r="H103" s="743"/>
      <c r="I103" s="743"/>
      <c r="J103" s="743"/>
      <c r="K103" s="743"/>
      <c r="L103" s="743"/>
      <c r="M103" s="743"/>
      <c r="N103" s="743"/>
      <c r="O103" s="743"/>
      <c r="P103" s="743"/>
      <c r="Q103" s="743"/>
      <c r="R103" s="39">
        <f>R101+R102</f>
        <v>0</v>
      </c>
    </row>
    <row r="104" spans="1:40" ht="20.7" customHeight="1">
      <c r="G104" s="744" t="s">
        <v>566</v>
      </c>
      <c r="H104" s="744"/>
      <c r="I104" s="744"/>
      <c r="J104" s="744"/>
      <c r="K104" s="744"/>
      <c r="L104" s="744"/>
      <c r="M104" s="744"/>
      <c r="N104" s="744"/>
      <c r="O104" s="744"/>
      <c r="P104" s="744"/>
      <c r="Q104" s="744"/>
      <c r="R104" s="72">
        <v>0</v>
      </c>
    </row>
    <row r="105" spans="1:40" ht="28.2" customHeight="1">
      <c r="G105" s="743" t="s">
        <v>567</v>
      </c>
      <c r="H105" s="743"/>
      <c r="I105" s="743"/>
      <c r="J105" s="743"/>
      <c r="K105" s="743"/>
      <c r="L105" s="743"/>
      <c r="M105" s="743"/>
      <c r="N105" s="743"/>
      <c r="O105" s="743"/>
      <c r="P105" s="743"/>
      <c r="Q105" s="745"/>
      <c r="R105" s="39">
        <f>SUM(R103:R104)</f>
        <v>0</v>
      </c>
    </row>
    <row r="106" spans="1:40" ht="31.2" customHeight="1">
      <c r="G106" s="744" t="s">
        <v>568</v>
      </c>
      <c r="H106" s="744"/>
      <c r="I106" s="744"/>
      <c r="J106" s="744"/>
      <c r="K106" s="744"/>
      <c r="L106" s="744"/>
      <c r="M106" s="744"/>
      <c r="N106" s="744"/>
      <c r="O106" s="744"/>
      <c r="P106" s="744"/>
      <c r="Q106" s="744"/>
      <c r="R106" s="72"/>
    </row>
    <row r="107" spans="1:40" ht="20.7" customHeight="1">
      <c r="G107" s="744" t="s">
        <v>569</v>
      </c>
      <c r="H107" s="744"/>
      <c r="I107" s="744"/>
      <c r="J107" s="744"/>
      <c r="K107" s="744"/>
      <c r="L107" s="744"/>
      <c r="M107" s="744"/>
      <c r="N107" s="744"/>
      <c r="O107" s="744"/>
      <c r="P107" s="744"/>
      <c r="Q107" s="744"/>
      <c r="R107" s="72"/>
    </row>
    <row r="108" spans="1:40" ht="37.200000000000003" customHeight="1">
      <c r="G108" s="743" t="s">
        <v>570</v>
      </c>
      <c r="H108" s="743"/>
      <c r="I108" s="743"/>
      <c r="J108" s="743"/>
      <c r="K108" s="743"/>
      <c r="L108" s="743"/>
      <c r="M108" s="743"/>
      <c r="N108" s="743"/>
      <c r="O108" s="743"/>
      <c r="P108" s="743"/>
      <c r="Q108" s="743"/>
      <c r="R108" s="39">
        <f>R103+R104+R106+R107</f>
        <v>0</v>
      </c>
    </row>
    <row r="109" spans="1:40">
      <c r="Q109" s="591"/>
    </row>
    <row r="112" spans="1:40">
      <c r="H112" s="746"/>
      <c r="I112" s="746"/>
      <c r="J112" s="746"/>
      <c r="K112" s="746"/>
      <c r="L112" s="746"/>
      <c r="M112" s="746"/>
      <c r="N112" s="746"/>
      <c r="O112" s="746"/>
      <c r="P112" s="746"/>
      <c r="Q112" s="746"/>
      <c r="R112" s="746"/>
    </row>
    <row r="113" spans="7:18">
      <c r="H113" s="703"/>
      <c r="I113" s="747"/>
      <c r="J113" s="747"/>
      <c r="K113" s="747"/>
      <c r="L113" s="747"/>
      <c r="M113" s="747"/>
      <c r="N113" s="747"/>
      <c r="O113" s="747"/>
      <c r="P113" s="747"/>
      <c r="Q113" s="747"/>
      <c r="R113" s="747"/>
    </row>
    <row r="114" spans="7:18">
      <c r="G114" s="748"/>
    </row>
    <row r="115" spans="7:18">
      <c r="G115" s="748"/>
    </row>
    <row r="116" spans="7:18">
      <c r="G116" s="748"/>
    </row>
    <row r="117" spans="7:18">
      <c r="G117" s="748"/>
    </row>
    <row r="118" spans="7:18">
      <c r="G118" s="748"/>
    </row>
    <row r="119" spans="7:18">
      <c r="I119" s="746"/>
      <c r="J119" s="746"/>
      <c r="K119" s="746"/>
      <c r="L119" s="746"/>
      <c r="M119" s="746"/>
      <c r="N119" s="746"/>
      <c r="O119" s="746"/>
      <c r="P119" s="746"/>
      <c r="Q119" s="746"/>
      <c r="R119" s="746"/>
    </row>
  </sheetData>
  <sheetProtection algorithmName="SHA-512" hashValue="PXE9HM1GX8WpwNe5fDCdMO1H/3TP4WI6jFgwm2c6G1RzUARcZR99L/vWwfbp9K3tC8r66XOZ611OfwNivgxyDg==" saltValue="B4TpWgXxnGrWin33irBb4g==" spinCount="100000" sheet="1" formatCells="0" formatColumns="0" formatRows="0"/>
  <mergeCells count="38">
    <mergeCell ref="A4:A5"/>
    <mergeCell ref="B4:B5"/>
    <mergeCell ref="D4:D5"/>
    <mergeCell ref="AD3:AK3"/>
    <mergeCell ref="B3:P3"/>
    <mergeCell ref="F4:F5"/>
    <mergeCell ref="G4:G5"/>
    <mergeCell ref="H4:H5"/>
    <mergeCell ref="E4:E5"/>
    <mergeCell ref="I4:I5"/>
    <mergeCell ref="AD4:AK4"/>
    <mergeCell ref="K4:K5"/>
    <mergeCell ref="P4:P5"/>
    <mergeCell ref="Q4:Q5"/>
    <mergeCell ref="R4:R5"/>
    <mergeCell ref="V4:AC4"/>
    <mergeCell ref="Q3:U3"/>
    <mergeCell ref="V3:AC3"/>
    <mergeCell ref="S4:S5"/>
    <mergeCell ref="T4:T5"/>
    <mergeCell ref="U4:U5"/>
    <mergeCell ref="H112:R112"/>
    <mergeCell ref="I119:R119"/>
    <mergeCell ref="G114:G118"/>
    <mergeCell ref="C4:C5"/>
    <mergeCell ref="G108:Q108"/>
    <mergeCell ref="G107:Q107"/>
    <mergeCell ref="L4:L5"/>
    <mergeCell ref="M4:M5"/>
    <mergeCell ref="O4:O5"/>
    <mergeCell ref="N4:N5"/>
    <mergeCell ref="J4:J5"/>
    <mergeCell ref="T101:U101"/>
    <mergeCell ref="G102:Q102"/>
    <mergeCell ref="G103:Q103"/>
    <mergeCell ref="G104:Q104"/>
    <mergeCell ref="G106:Q106"/>
    <mergeCell ref="G105:Q105"/>
  </mergeCells>
  <phoneticPr fontId="0" type="noConversion"/>
  <dataValidations count="1">
    <dataValidation type="whole" allowBlank="1" showInputMessage="1" showErrorMessage="1" error="Please enter a whole number. " sqref="Q6:Q100" xr:uid="{890980E8-F05F-4AC1-BE76-EF2BEB6B66C5}">
      <formula1>0</formula1>
      <formula2>5</formula2>
    </dataValidation>
  </dataValidations>
  <pageMargins left="0.75" right="0.75" top="1" bottom="1" header="0.5" footer="0.5"/>
  <pageSetup scale="47" orientation="landscape" r:id="rId1"/>
  <headerFooter alignWithMargins="0">
    <oddFooter>&amp;L&amp;F
&amp;D&amp;T&amp;R&amp;"Times New Roman,Regular"&amp;8revision date:  8/6/2007</oddFooter>
  </headerFooter>
  <ignoredErrors>
    <ignoredError sqref="V101 W101 AE101 X101:AB101" formulaRange="1"/>
    <ignoredError sqref="AD5 AF5:AK5" numberStoredAsText="1"/>
    <ignoredError sqref="AN100:AN101" evalError="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F306919-5498-4505-BBFC-920791E33F3D}">
          <x14:formula1>
            <xm:f>'rent summary'!$J$4:$J$13</xm:f>
          </x14:formula1>
          <xm:sqref>A6:A99</xm:sqref>
        </x14:dataValidation>
        <x14:dataValidation type="list" allowBlank="1" showInputMessage="1" showErrorMessage="1" xr:uid="{1EDB7778-48C3-4CCA-BDC1-EEB72A772526}">
          <x14:formula1>
            <xm:f>'VHFA Use'!$D$71:$D$72</xm:f>
          </x14:formula1>
          <xm:sqref>C6:P100 V6:AK100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80"/>
  <sheetViews>
    <sheetView zoomScale="106" zoomScaleNormal="106" zoomScaleSheetLayoutView="75" workbookViewId="0">
      <pane ySplit="3" topLeftCell="A4" activePane="bottomLeft" state="frozen"/>
      <selection pane="bottomLeft"/>
    </sheetView>
  </sheetViews>
  <sheetFormatPr defaultColWidth="8.75" defaultRowHeight="13.8" outlineLevelRow="1"/>
  <cols>
    <col min="1" max="1" width="31.25" style="584" customWidth="1"/>
    <col min="2" max="2" width="15.4140625" style="584" customWidth="1"/>
    <col min="3" max="3" width="8" style="584" customWidth="1"/>
    <col min="4" max="4" width="10" style="584" customWidth="1"/>
    <col min="5" max="5" width="11.75" style="584" customWidth="1"/>
    <col min="6" max="6" width="17.58203125" style="584" bestFit="1" customWidth="1"/>
    <col min="7" max="16384" width="8.75" style="584"/>
  </cols>
  <sheetData>
    <row r="1" spans="1:5" ht="14.4" thickBot="1">
      <c r="A1" s="581" t="str">
        <f>assumptions!B2</f>
        <v>enter date</v>
      </c>
      <c r="B1" s="648" t="str">
        <f>assumptions!B1</f>
        <v>enter project name</v>
      </c>
      <c r="C1" s="649"/>
      <c r="D1" s="650"/>
      <c r="E1" s="652"/>
    </row>
    <row r="2" spans="1:5" ht="14.4" thickTop="1">
      <c r="A2" s="655"/>
      <c r="B2" s="655"/>
      <c r="C2" s="655"/>
      <c r="D2" s="669" t="s">
        <v>456</v>
      </c>
      <c r="E2" s="669" t="s">
        <v>456</v>
      </c>
    </row>
    <row r="3" spans="1:5" s="658" customFormat="1">
      <c r="B3" s="659" t="s">
        <v>571</v>
      </c>
      <c r="C3" s="749" t="s">
        <v>572</v>
      </c>
      <c r="D3" s="749" t="s">
        <v>573</v>
      </c>
      <c r="E3" s="631" t="s">
        <v>574</v>
      </c>
    </row>
    <row r="4" spans="1:5">
      <c r="A4" s="750" t="s">
        <v>575</v>
      </c>
    </row>
    <row r="5" spans="1:5">
      <c r="A5" s="751" t="s">
        <v>576</v>
      </c>
      <c r="B5" s="67"/>
      <c r="C5" s="97">
        <f>B5/12</f>
        <v>0</v>
      </c>
      <c r="D5" s="325" t="e">
        <f>C5/assumptions!$B$4</f>
        <v>#DIV/0!</v>
      </c>
      <c r="E5" s="97" t="e">
        <f>B5/assumptions!$B$4</f>
        <v>#DIV/0!</v>
      </c>
    </row>
    <row r="6" spans="1:5">
      <c r="A6" s="751" t="s">
        <v>577</v>
      </c>
      <c r="B6" s="67"/>
      <c r="C6" s="97">
        <f>B6/12</f>
        <v>0</v>
      </c>
      <c r="D6" s="325" t="e">
        <f>C6/assumptions!$B$4</f>
        <v>#DIV/0!</v>
      </c>
      <c r="E6" s="97" t="e">
        <f>B6/assumptions!$B$4</f>
        <v>#DIV/0!</v>
      </c>
    </row>
    <row r="7" spans="1:5">
      <c r="A7" s="751" t="s">
        <v>578</v>
      </c>
      <c r="B7" s="67"/>
      <c r="C7" s="97">
        <f>B7/12</f>
        <v>0</v>
      </c>
      <c r="D7" s="325" t="e">
        <f>C7/assumptions!$B$4</f>
        <v>#DIV/0!</v>
      </c>
      <c r="E7" s="97" t="e">
        <f>B7/assumptions!$B$4</f>
        <v>#DIV/0!</v>
      </c>
    </row>
    <row r="8" spans="1:5">
      <c r="A8" s="751" t="s">
        <v>579</v>
      </c>
      <c r="B8" s="67"/>
      <c r="C8" s="97">
        <f>B8/12</f>
        <v>0</v>
      </c>
      <c r="D8" s="325" t="e">
        <f>C8/assumptions!$B$4</f>
        <v>#DIV/0!</v>
      </c>
      <c r="E8" s="97" t="e">
        <f>B8/assumptions!$B$4</f>
        <v>#DIV/0!</v>
      </c>
    </row>
    <row r="9" spans="1:5">
      <c r="A9" s="751" t="s">
        <v>580</v>
      </c>
      <c r="B9" s="67"/>
      <c r="C9" s="97">
        <f t="shared" ref="C9" si="0">B9/12</f>
        <v>0</v>
      </c>
      <c r="D9" s="325" t="e">
        <f>C9/assumptions!$B$4</f>
        <v>#DIV/0!</v>
      </c>
      <c r="E9" s="97" t="e">
        <f>B9/assumptions!$B$4</f>
        <v>#DIV/0!</v>
      </c>
    </row>
    <row r="10" spans="1:5">
      <c r="A10" s="751" t="s">
        <v>581</v>
      </c>
      <c r="B10" s="67"/>
      <c r="C10" s="97">
        <f t="shared" ref="C10:C15" si="1">B10/12</f>
        <v>0</v>
      </c>
      <c r="D10" s="325" t="e">
        <f>C10/assumptions!$B$4</f>
        <v>#DIV/0!</v>
      </c>
      <c r="E10" s="97" t="e">
        <f>B10/assumptions!$B$4</f>
        <v>#DIV/0!</v>
      </c>
    </row>
    <row r="11" spans="1:5">
      <c r="A11" s="751" t="s">
        <v>582</v>
      </c>
      <c r="B11" s="67"/>
      <c r="C11" s="97">
        <f t="shared" si="1"/>
        <v>0</v>
      </c>
      <c r="D11" s="325" t="e">
        <f>C11/assumptions!$B$4</f>
        <v>#DIV/0!</v>
      </c>
      <c r="E11" s="97" t="e">
        <f>B11/assumptions!$B$4</f>
        <v>#DIV/0!</v>
      </c>
    </row>
    <row r="12" spans="1:5">
      <c r="A12" s="751" t="s">
        <v>429</v>
      </c>
      <c r="B12" s="67"/>
      <c r="C12" s="97">
        <f t="shared" si="1"/>
        <v>0</v>
      </c>
      <c r="D12" s="325" t="e">
        <f>C12/assumptions!$B$4</f>
        <v>#DIV/0!</v>
      </c>
      <c r="E12" s="97" t="e">
        <f>B12/assumptions!$B$4</f>
        <v>#DIV/0!</v>
      </c>
    </row>
    <row r="13" spans="1:5" ht="27.6">
      <c r="A13" s="752" t="s">
        <v>583</v>
      </c>
      <c r="B13" s="67"/>
      <c r="C13" s="97">
        <f t="shared" si="1"/>
        <v>0</v>
      </c>
      <c r="D13" s="325" t="e">
        <f>C13/assumptions!$B$4</f>
        <v>#DIV/0!</v>
      </c>
      <c r="E13" s="97" t="e">
        <f>B13/assumptions!$B$4</f>
        <v>#DIV/0!</v>
      </c>
    </row>
    <row r="14" spans="1:5">
      <c r="A14" s="751" t="s">
        <v>584</v>
      </c>
      <c r="B14" s="67"/>
      <c r="C14" s="97">
        <f t="shared" si="1"/>
        <v>0</v>
      </c>
      <c r="D14" s="325" t="e">
        <f>C14/assumptions!$B$4</f>
        <v>#DIV/0!</v>
      </c>
      <c r="E14" s="97" t="e">
        <f>B14/assumptions!$B$4</f>
        <v>#DIV/0!</v>
      </c>
    </row>
    <row r="15" spans="1:5">
      <c r="A15" s="751" t="s">
        <v>585</v>
      </c>
      <c r="B15" s="67"/>
      <c r="C15" s="97">
        <f t="shared" si="1"/>
        <v>0</v>
      </c>
      <c r="D15" s="325" t="e">
        <f>C15/assumptions!$B$4</f>
        <v>#DIV/0!</v>
      </c>
      <c r="E15" s="97" t="e">
        <f>B15/assumptions!$B$4</f>
        <v>#DIV/0!</v>
      </c>
    </row>
    <row r="16" spans="1:5">
      <c r="A16" s="751" t="s">
        <v>586</v>
      </c>
      <c r="B16" s="67"/>
      <c r="C16" s="143">
        <f>B16/12</f>
        <v>0</v>
      </c>
      <c r="D16" s="325" t="e">
        <f>C16/assumptions!$B$4</f>
        <v>#DIV/0!</v>
      </c>
      <c r="E16" s="97" t="e">
        <f>B16/assumptions!$B$4</f>
        <v>#DIV/0!</v>
      </c>
    </row>
    <row r="17" spans="1:5" ht="14.4" outlineLevel="1">
      <c r="A17" s="790" t="s">
        <v>347</v>
      </c>
      <c r="B17" s="67"/>
      <c r="C17" s="143">
        <f t="shared" ref="C17:C21" si="2">B17/12</f>
        <v>0</v>
      </c>
      <c r="D17" s="325" t="e">
        <f>C17/assumptions!$B$4</f>
        <v>#DIV/0!</v>
      </c>
      <c r="E17" s="97" t="e">
        <f>B17/assumptions!$B$4</f>
        <v>#DIV/0!</v>
      </c>
    </row>
    <row r="18" spans="1:5" ht="14.4" outlineLevel="1">
      <c r="A18" s="790" t="s">
        <v>347</v>
      </c>
      <c r="B18" s="67"/>
      <c r="C18" s="143">
        <f t="shared" si="2"/>
        <v>0</v>
      </c>
      <c r="D18" s="325" t="e">
        <f>C18/assumptions!$B$4</f>
        <v>#DIV/0!</v>
      </c>
      <c r="E18" s="97" t="e">
        <f>B18/assumptions!$B$4</f>
        <v>#DIV/0!</v>
      </c>
    </row>
    <row r="19" spans="1:5" ht="14.4" outlineLevel="1">
      <c r="A19" s="790" t="s">
        <v>347</v>
      </c>
      <c r="B19" s="67"/>
      <c r="C19" s="143">
        <f t="shared" si="2"/>
        <v>0</v>
      </c>
      <c r="D19" s="325" t="e">
        <f>C19/assumptions!$B$4</f>
        <v>#DIV/0!</v>
      </c>
      <c r="E19" s="97" t="e">
        <f>B19/assumptions!$B$4</f>
        <v>#DIV/0!</v>
      </c>
    </row>
    <row r="20" spans="1:5" ht="14.4" outlineLevel="1">
      <c r="A20" s="790" t="s">
        <v>347</v>
      </c>
      <c r="B20" s="67"/>
      <c r="C20" s="143">
        <f t="shared" si="2"/>
        <v>0</v>
      </c>
      <c r="D20" s="325" t="e">
        <f>C20/assumptions!$B$4</f>
        <v>#DIV/0!</v>
      </c>
      <c r="E20" s="97" t="e">
        <f>B20/assumptions!$B$4</f>
        <v>#DIV/0!</v>
      </c>
    </row>
    <row r="21" spans="1:5" ht="14.4" outlineLevel="1">
      <c r="A21" s="790" t="s">
        <v>347</v>
      </c>
      <c r="B21" s="67"/>
      <c r="C21" s="143">
        <f t="shared" si="2"/>
        <v>0</v>
      </c>
      <c r="D21" s="325" t="e">
        <f>C21/assumptions!$B$4</f>
        <v>#DIV/0!</v>
      </c>
      <c r="E21" s="97" t="e">
        <f>B21/assumptions!$B$4</f>
        <v>#DIV/0!</v>
      </c>
    </row>
    <row r="22" spans="1:5" ht="14.4" thickBot="1">
      <c r="A22" s="753" t="s">
        <v>587</v>
      </c>
      <c r="B22" s="188">
        <f>SUM(B5:B21)</f>
        <v>0</v>
      </c>
      <c r="C22" s="188">
        <f>B22/12</f>
        <v>0</v>
      </c>
      <c r="D22" s="326" t="e">
        <f>C22/assumptions!$B$4</f>
        <v>#DIV/0!</v>
      </c>
      <c r="E22" s="189" t="e">
        <f>B22/assumptions!$B$4</f>
        <v>#DIV/0!</v>
      </c>
    </row>
    <row r="23" spans="1:5">
      <c r="B23" s="97"/>
      <c r="C23" s="97"/>
      <c r="D23" s="325"/>
      <c r="E23" s="105"/>
    </row>
    <row r="24" spans="1:5">
      <c r="A24" s="663" t="s">
        <v>588</v>
      </c>
      <c r="B24" s="97"/>
      <c r="C24" s="97"/>
      <c r="D24" s="325"/>
      <c r="E24" s="105"/>
    </row>
    <row r="25" spans="1:5" ht="15.45" customHeight="1">
      <c r="A25" s="590" t="s">
        <v>589</v>
      </c>
      <c r="B25" s="74"/>
      <c r="C25" s="143">
        <f>B25/12</f>
        <v>0</v>
      </c>
      <c r="D25" s="327" t="e">
        <f>C25/assumptions!$B$4</f>
        <v>#DIV/0!</v>
      </c>
      <c r="E25" s="143" t="e">
        <f>B25/assumptions!$B$4</f>
        <v>#DIV/0!</v>
      </c>
    </row>
    <row r="26" spans="1:5" ht="14.4" thickBot="1">
      <c r="A26" s="754" t="s">
        <v>590</v>
      </c>
      <c r="B26" s="189">
        <f>B25</f>
        <v>0</v>
      </c>
      <c r="C26" s="189">
        <f>B26/12</f>
        <v>0</v>
      </c>
      <c r="D26" s="326" t="e">
        <f>C26/assumptions!$B$4</f>
        <v>#DIV/0!</v>
      </c>
      <c r="E26" s="189" t="e">
        <f>B26/assumptions!$B$4</f>
        <v>#DIV/0!</v>
      </c>
    </row>
    <row r="27" spans="1:5">
      <c r="B27" s="97"/>
      <c r="C27" s="97"/>
      <c r="D27" s="325"/>
      <c r="E27" s="105"/>
    </row>
    <row r="28" spans="1:5">
      <c r="A28" s="750" t="s">
        <v>591</v>
      </c>
      <c r="B28" s="97"/>
      <c r="C28" s="97"/>
      <c r="D28" s="325"/>
      <c r="E28" s="105"/>
    </row>
    <row r="29" spans="1:5">
      <c r="A29" s="751" t="s">
        <v>592</v>
      </c>
      <c r="B29" s="67"/>
      <c r="C29" s="97">
        <f t="shared" ref="C29:C37" si="3">B29/12</f>
        <v>0</v>
      </c>
      <c r="D29" s="325" t="e">
        <f>C29/assumptions!$B$4</f>
        <v>#DIV/0!</v>
      </c>
      <c r="E29" s="97" t="e">
        <f>B29/assumptions!$B$4</f>
        <v>#DIV/0!</v>
      </c>
    </row>
    <row r="30" spans="1:5">
      <c r="A30" s="751" t="s">
        <v>593</v>
      </c>
      <c r="B30" s="67"/>
      <c r="C30" s="97">
        <f t="shared" si="3"/>
        <v>0</v>
      </c>
      <c r="D30" s="325" t="e">
        <f>C30/assumptions!$B$4</f>
        <v>#DIV/0!</v>
      </c>
      <c r="E30" s="97" t="e">
        <f>B30/assumptions!$B$4</f>
        <v>#DIV/0!</v>
      </c>
    </row>
    <row r="31" spans="1:5">
      <c r="A31" s="751" t="s">
        <v>594</v>
      </c>
      <c r="B31" s="67"/>
      <c r="C31" s="97">
        <f t="shared" si="3"/>
        <v>0</v>
      </c>
      <c r="D31" s="325" t="e">
        <f>C31/assumptions!$B$4</f>
        <v>#DIV/0!</v>
      </c>
      <c r="E31" s="97" t="e">
        <f>B31/assumptions!$B$4</f>
        <v>#DIV/0!</v>
      </c>
    </row>
    <row r="32" spans="1:5">
      <c r="A32" s="751" t="s">
        <v>595</v>
      </c>
      <c r="B32" s="67"/>
      <c r="C32" s="97">
        <f t="shared" si="3"/>
        <v>0</v>
      </c>
      <c r="D32" s="325" t="e">
        <f>C32/assumptions!$B$4</f>
        <v>#DIV/0!</v>
      </c>
      <c r="E32" s="97" t="e">
        <f>B32/assumptions!$B$4</f>
        <v>#DIV/0!</v>
      </c>
    </row>
    <row r="33" spans="1:5">
      <c r="A33" s="751" t="s">
        <v>596</v>
      </c>
      <c r="B33" s="67"/>
      <c r="C33" s="97">
        <f t="shared" ref="C33" si="4">B33/12</f>
        <v>0</v>
      </c>
      <c r="D33" s="325" t="e">
        <f>C33/assumptions!$B$4</f>
        <v>#DIV/0!</v>
      </c>
      <c r="E33" s="97" t="e">
        <f>B33/assumptions!$B$4</f>
        <v>#DIV/0!</v>
      </c>
    </row>
    <row r="34" spans="1:5" ht="14.4" outlineLevel="1">
      <c r="A34" s="790" t="s">
        <v>347</v>
      </c>
      <c r="B34" s="67"/>
      <c r="C34" s="97">
        <f t="shared" si="3"/>
        <v>0</v>
      </c>
      <c r="D34" s="325" t="e">
        <f>C34/assumptions!$B$4</f>
        <v>#DIV/0!</v>
      </c>
      <c r="E34" s="97" t="e">
        <f>B34/assumptions!$B$4</f>
        <v>#DIV/0!</v>
      </c>
    </row>
    <row r="35" spans="1:5" ht="14.4" outlineLevel="1">
      <c r="A35" s="790" t="s">
        <v>347</v>
      </c>
      <c r="B35" s="67"/>
      <c r="C35" s="97">
        <f>B35/12</f>
        <v>0</v>
      </c>
      <c r="D35" s="325" t="e">
        <f>C35/assumptions!$B$4</f>
        <v>#DIV/0!</v>
      </c>
      <c r="E35" s="97" t="e">
        <f>B35/assumptions!$B$4</f>
        <v>#DIV/0!</v>
      </c>
    </row>
    <row r="36" spans="1:5" ht="14.4" outlineLevel="1">
      <c r="A36" s="790" t="s">
        <v>347</v>
      </c>
      <c r="B36" s="67"/>
      <c r="C36" s="97">
        <f t="shared" si="3"/>
        <v>0</v>
      </c>
      <c r="D36" s="325" t="e">
        <f>C36/assumptions!$B$4</f>
        <v>#DIV/0!</v>
      </c>
      <c r="E36" s="97" t="e">
        <f>B36/assumptions!$B$4</f>
        <v>#DIV/0!</v>
      </c>
    </row>
    <row r="37" spans="1:5" ht="14.4" outlineLevel="1">
      <c r="A37" s="790" t="s">
        <v>347</v>
      </c>
      <c r="B37" s="67"/>
      <c r="C37" s="97">
        <f t="shared" si="3"/>
        <v>0</v>
      </c>
      <c r="D37" s="325" t="e">
        <f>C37/assumptions!$B$4</f>
        <v>#DIV/0!</v>
      </c>
      <c r="E37" s="97" t="e">
        <f>B37/assumptions!$B$4</f>
        <v>#DIV/0!</v>
      </c>
    </row>
    <row r="38" spans="1:5" ht="14.4" thickBot="1">
      <c r="A38" s="754" t="s">
        <v>597</v>
      </c>
      <c r="B38" s="188">
        <f>SUM(B29:B37)</f>
        <v>0</v>
      </c>
      <c r="C38" s="188">
        <f>B38/12</f>
        <v>0</v>
      </c>
      <c r="D38" s="328" t="e">
        <f>C38/assumptions!$B$4</f>
        <v>#DIV/0!</v>
      </c>
      <c r="E38" s="311" t="e">
        <f>B38/assumptions!$B$4</f>
        <v>#DIV/0!</v>
      </c>
    </row>
    <row r="39" spans="1:5">
      <c r="B39" s="97"/>
      <c r="C39" s="97"/>
      <c r="D39" s="325"/>
      <c r="E39" s="107"/>
    </row>
    <row r="40" spans="1:5">
      <c r="A40" s="750" t="s">
        <v>598</v>
      </c>
      <c r="B40" s="97"/>
      <c r="C40" s="97"/>
      <c r="D40" s="325"/>
      <c r="E40" s="105"/>
    </row>
    <row r="41" spans="1:5" ht="27.6">
      <c r="A41" s="755" t="s">
        <v>599</v>
      </c>
      <c r="B41" s="67"/>
      <c r="C41" s="97">
        <f>B41/12</f>
        <v>0</v>
      </c>
      <c r="D41" s="325" t="e">
        <f>C41/assumptions!$B$4</f>
        <v>#DIV/0!</v>
      </c>
      <c r="E41" s="97" t="e">
        <f>B41/assumptions!$B$4</f>
        <v>#DIV/0!</v>
      </c>
    </row>
    <row r="42" spans="1:5">
      <c r="A42" s="751" t="s">
        <v>600</v>
      </c>
      <c r="B42" s="67"/>
      <c r="C42" s="97">
        <f t="shared" ref="C42:C53" si="5">B42/12</f>
        <v>0</v>
      </c>
      <c r="D42" s="325" t="e">
        <f>C42/assumptions!$B$4</f>
        <v>#DIV/0!</v>
      </c>
      <c r="E42" s="97" t="e">
        <f>B42/assumptions!$B$4</f>
        <v>#DIV/0!</v>
      </c>
    </row>
    <row r="43" spans="1:5" ht="27.6">
      <c r="A43" s="755" t="s">
        <v>601</v>
      </c>
      <c r="B43" s="67"/>
      <c r="C43" s="97">
        <f t="shared" si="5"/>
        <v>0</v>
      </c>
      <c r="D43" s="325" t="e">
        <f>C43/assumptions!$B$4</f>
        <v>#DIV/0!</v>
      </c>
      <c r="E43" s="97" t="e">
        <f>B43/assumptions!$B$4</f>
        <v>#DIV/0!</v>
      </c>
    </row>
    <row r="44" spans="1:5">
      <c r="A44" s="751" t="s">
        <v>602</v>
      </c>
      <c r="B44" s="67"/>
      <c r="C44" s="97">
        <f t="shared" si="5"/>
        <v>0</v>
      </c>
      <c r="D44" s="325" t="e">
        <f>C44/assumptions!$B$4</f>
        <v>#DIV/0!</v>
      </c>
      <c r="E44" s="97" t="e">
        <f>B44/assumptions!$B$4</f>
        <v>#DIV/0!</v>
      </c>
    </row>
    <row r="45" spans="1:5">
      <c r="A45" s="751" t="s">
        <v>603</v>
      </c>
      <c r="B45" s="67"/>
      <c r="C45" s="97">
        <f t="shared" si="5"/>
        <v>0</v>
      </c>
      <c r="D45" s="325" t="e">
        <f>C45/assumptions!$B$4</f>
        <v>#DIV/0!</v>
      </c>
      <c r="E45" s="97" t="e">
        <f>B45/assumptions!$B$4</f>
        <v>#DIV/0!</v>
      </c>
    </row>
    <row r="46" spans="1:5">
      <c r="A46" s="751" t="s">
        <v>604</v>
      </c>
      <c r="B46" s="67"/>
      <c r="C46" s="97">
        <f t="shared" si="5"/>
        <v>0</v>
      </c>
      <c r="D46" s="325" t="e">
        <f>C46/assumptions!$B$4</f>
        <v>#DIV/0!</v>
      </c>
      <c r="E46" s="97" t="e">
        <f>B46/assumptions!$B$4</f>
        <v>#DIV/0!</v>
      </c>
    </row>
    <row r="47" spans="1:5">
      <c r="A47" s="755" t="s">
        <v>605</v>
      </c>
      <c r="B47" s="67"/>
      <c r="C47" s="97">
        <f t="shared" si="5"/>
        <v>0</v>
      </c>
      <c r="D47" s="325" t="e">
        <f>C47/assumptions!$B$4</f>
        <v>#DIV/0!</v>
      </c>
      <c r="E47" s="97" t="e">
        <f>B47/assumptions!$B$4</f>
        <v>#DIV/0!</v>
      </c>
    </row>
    <row r="48" spans="1:5" ht="27.6">
      <c r="A48" s="755" t="s">
        <v>606</v>
      </c>
      <c r="B48" s="67"/>
      <c r="C48" s="97">
        <f t="shared" ref="C48" si="6">B48/12</f>
        <v>0</v>
      </c>
      <c r="D48" s="325" t="e">
        <f>C48/assumptions!$B$4</f>
        <v>#DIV/0!</v>
      </c>
      <c r="E48" s="97" t="e">
        <f>B48/assumptions!$B$4</f>
        <v>#DIV/0!</v>
      </c>
    </row>
    <row r="49" spans="1:5" ht="14.4" outlineLevel="1">
      <c r="A49" s="790" t="s">
        <v>347</v>
      </c>
      <c r="B49" s="67"/>
      <c r="C49" s="97">
        <f t="shared" ref="C49:C52" si="7">B49/12</f>
        <v>0</v>
      </c>
      <c r="D49" s="325" t="e">
        <f>C49/assumptions!$B$4</f>
        <v>#DIV/0!</v>
      </c>
      <c r="E49" s="97" t="e">
        <f>B49/assumptions!$B$4</f>
        <v>#DIV/0!</v>
      </c>
    </row>
    <row r="50" spans="1:5" ht="14.4" outlineLevel="1">
      <c r="A50" s="790" t="s">
        <v>347</v>
      </c>
      <c r="B50" s="67"/>
      <c r="C50" s="97">
        <f t="shared" si="7"/>
        <v>0</v>
      </c>
      <c r="D50" s="325" t="e">
        <f>C50/assumptions!$B$4</f>
        <v>#DIV/0!</v>
      </c>
      <c r="E50" s="97" t="e">
        <f>B50/assumptions!$B$4</f>
        <v>#DIV/0!</v>
      </c>
    </row>
    <row r="51" spans="1:5" ht="14.4" outlineLevel="1">
      <c r="A51" s="790" t="s">
        <v>347</v>
      </c>
      <c r="B51" s="67"/>
      <c r="C51" s="97">
        <f t="shared" si="7"/>
        <v>0</v>
      </c>
      <c r="D51" s="325" t="e">
        <f>C51/assumptions!$B$4</f>
        <v>#DIV/0!</v>
      </c>
      <c r="E51" s="97" t="e">
        <f>B51/assumptions!$B$4</f>
        <v>#DIV/0!</v>
      </c>
    </row>
    <row r="52" spans="1:5" ht="14.4" outlineLevel="1">
      <c r="A52" s="790" t="s">
        <v>347</v>
      </c>
      <c r="B52" s="67"/>
      <c r="C52" s="97">
        <f t="shared" si="7"/>
        <v>0</v>
      </c>
      <c r="D52" s="325" t="e">
        <f>C52/assumptions!$B$4</f>
        <v>#DIV/0!</v>
      </c>
      <c r="E52" s="97" t="e">
        <f>B52/assumptions!$B$4</f>
        <v>#DIV/0!</v>
      </c>
    </row>
    <row r="53" spans="1:5" ht="14.4" outlineLevel="1">
      <c r="A53" s="790" t="s">
        <v>347</v>
      </c>
      <c r="B53" s="67"/>
      <c r="C53" s="143">
        <f t="shared" si="5"/>
        <v>0</v>
      </c>
      <c r="D53" s="325" t="e">
        <f>C53/assumptions!$B$4</f>
        <v>#DIV/0!</v>
      </c>
      <c r="E53" s="97" t="e">
        <f>B53/assumptions!$B$4</f>
        <v>#DIV/0!</v>
      </c>
    </row>
    <row r="54" spans="1:5" ht="14.4" thickBot="1">
      <c r="A54" s="754" t="s">
        <v>607</v>
      </c>
      <c r="B54" s="188">
        <f>SUM(B41:B53)</f>
        <v>0</v>
      </c>
      <c r="C54" s="188">
        <f>B54/12</f>
        <v>0</v>
      </c>
      <c r="D54" s="328" t="e">
        <f>C54/assumptions!$B$4</f>
        <v>#DIV/0!</v>
      </c>
      <c r="E54" s="188" t="e">
        <f>B54/assumptions!$B$4</f>
        <v>#DIV/0!</v>
      </c>
    </row>
    <row r="55" spans="1:5">
      <c r="B55" s="97"/>
      <c r="C55" s="97"/>
      <c r="D55" s="325"/>
      <c r="E55" s="105"/>
    </row>
    <row r="56" spans="1:5">
      <c r="A56" s="663" t="s">
        <v>608</v>
      </c>
      <c r="B56" s="97"/>
      <c r="C56" s="97"/>
      <c r="D56" s="325"/>
      <c r="E56" s="105"/>
    </row>
    <row r="57" spans="1:5">
      <c r="A57" s="751" t="s">
        <v>609</v>
      </c>
      <c r="B57" s="67"/>
      <c r="C57" s="97">
        <f>B57/12</f>
        <v>0</v>
      </c>
      <c r="D57" s="325" t="e">
        <f>C57/assumptions!$B$4</f>
        <v>#DIV/0!</v>
      </c>
      <c r="E57" s="97" t="e">
        <f>B57/assumptions!$B$4</f>
        <v>#DIV/0!</v>
      </c>
    </row>
    <row r="58" spans="1:5">
      <c r="A58" s="755" t="s">
        <v>610</v>
      </c>
      <c r="B58" s="67"/>
      <c r="C58" s="97">
        <f t="shared" ref="C58:C66" si="8">B58/12</f>
        <v>0</v>
      </c>
      <c r="D58" s="325" t="e">
        <f>C58/assumptions!$B$4</f>
        <v>#DIV/0!</v>
      </c>
      <c r="E58" s="97" t="e">
        <f>B58/assumptions!$B$4</f>
        <v>#DIV/0!</v>
      </c>
    </row>
    <row r="59" spans="1:5">
      <c r="A59" s="590" t="s">
        <v>611</v>
      </c>
      <c r="B59" s="67"/>
      <c r="C59" s="97">
        <f t="shared" si="8"/>
        <v>0</v>
      </c>
      <c r="D59" s="325" t="e">
        <f>C59/assumptions!$B$4</f>
        <v>#DIV/0!</v>
      </c>
      <c r="E59" s="97" t="e">
        <f>B59/assumptions!$B$4</f>
        <v>#DIV/0!</v>
      </c>
    </row>
    <row r="60" spans="1:5">
      <c r="A60" s="590" t="s">
        <v>612</v>
      </c>
      <c r="B60" s="67"/>
      <c r="C60" s="97">
        <f t="shared" si="8"/>
        <v>0</v>
      </c>
      <c r="D60" s="325" t="e">
        <f>C60/assumptions!$B$4</f>
        <v>#DIV/0!</v>
      </c>
      <c r="E60" s="97" t="e">
        <f>B60/assumptions!$B$4</f>
        <v>#DIV/0!</v>
      </c>
    </row>
    <row r="61" spans="1:5">
      <c r="A61" s="590" t="s">
        <v>613</v>
      </c>
      <c r="B61" s="67"/>
      <c r="C61" s="97">
        <f t="shared" si="8"/>
        <v>0</v>
      </c>
      <c r="D61" s="325" t="e">
        <f>C61/assumptions!$B$4</f>
        <v>#DIV/0!</v>
      </c>
      <c r="E61" s="97" t="e">
        <f>B61/assumptions!$B$4</f>
        <v>#DIV/0!</v>
      </c>
    </row>
    <row r="62" spans="1:5">
      <c r="A62" s="755" t="s">
        <v>614</v>
      </c>
      <c r="B62" s="67"/>
      <c r="C62" s="143">
        <f t="shared" si="8"/>
        <v>0</v>
      </c>
      <c r="D62" s="325" t="e">
        <f>C62/assumptions!$B$4</f>
        <v>#DIV/0!</v>
      </c>
      <c r="E62" s="97" t="e">
        <f>B62/assumptions!$B$4</f>
        <v>#DIV/0!</v>
      </c>
    </row>
    <row r="63" spans="1:5" ht="14.4" outlineLevel="1">
      <c r="A63" s="790" t="s">
        <v>347</v>
      </c>
      <c r="B63" s="67"/>
      <c r="C63" s="143">
        <f t="shared" ref="C63:C65" si="9">B63/12</f>
        <v>0</v>
      </c>
      <c r="D63" s="325" t="e">
        <f>C63/assumptions!$B$4</f>
        <v>#DIV/0!</v>
      </c>
      <c r="E63" s="97" t="e">
        <f>B63/assumptions!$B$4</f>
        <v>#DIV/0!</v>
      </c>
    </row>
    <row r="64" spans="1:5" ht="14.4" outlineLevel="1">
      <c r="A64" s="790" t="s">
        <v>347</v>
      </c>
      <c r="B64" s="67"/>
      <c r="C64" s="143">
        <f t="shared" si="9"/>
        <v>0</v>
      </c>
      <c r="D64" s="325" t="e">
        <f>C64/assumptions!$B$4</f>
        <v>#DIV/0!</v>
      </c>
      <c r="E64" s="97" t="e">
        <f>B64/assumptions!$B$4</f>
        <v>#DIV/0!</v>
      </c>
    </row>
    <row r="65" spans="1:6" ht="14.4" outlineLevel="1">
      <c r="A65" s="790" t="s">
        <v>347</v>
      </c>
      <c r="B65" s="67"/>
      <c r="C65" s="143">
        <f t="shared" si="9"/>
        <v>0</v>
      </c>
      <c r="D65" s="325" t="e">
        <f>C65/assumptions!$B$4</f>
        <v>#DIV/0!</v>
      </c>
      <c r="E65" s="97" t="e">
        <f>B65/assumptions!$B$4</f>
        <v>#DIV/0!</v>
      </c>
    </row>
    <row r="66" spans="1:6" ht="14.4" thickBot="1">
      <c r="A66" s="756" t="s">
        <v>615</v>
      </c>
      <c r="B66" s="189">
        <f>SUM(B57:B65)</f>
        <v>0</v>
      </c>
      <c r="C66" s="189">
        <f t="shared" si="8"/>
        <v>0</v>
      </c>
      <c r="D66" s="326" t="e">
        <f>C66/assumptions!$B$4</f>
        <v>#DIV/0!</v>
      </c>
      <c r="E66" s="189" t="e">
        <f>B66/assumptions!$B$4</f>
        <v>#DIV/0!</v>
      </c>
    </row>
    <row r="67" spans="1:6">
      <c r="A67" s="751"/>
      <c r="B67" s="97"/>
      <c r="C67" s="97"/>
      <c r="D67" s="325"/>
      <c r="E67" s="105"/>
    </row>
    <row r="68" spans="1:6">
      <c r="A68" s="757" t="s">
        <v>616</v>
      </c>
      <c r="B68" s="97"/>
      <c r="C68" s="97"/>
      <c r="D68" s="325"/>
      <c r="E68" s="105"/>
    </row>
    <row r="69" spans="1:6">
      <c r="A69" s="590" t="s">
        <v>617</v>
      </c>
      <c r="B69" s="74">
        <f>IF(SUM(amortizations!B17,amortizations!B33,amortizations!B65,amortizations!B81)=0, 0, SUM(amortizations!B17,amortizations!B33,amortizations!B65,amortizations!B81))</f>
        <v>0</v>
      </c>
      <c r="C69" s="97">
        <f>B69/12</f>
        <v>0</v>
      </c>
      <c r="D69" s="325" t="e">
        <f>C69/assumptions!$B$4</f>
        <v>#DIV/0!</v>
      </c>
      <c r="E69" s="97" t="e">
        <f>B69/assumptions!$B$4</f>
        <v>#DIV/0!</v>
      </c>
    </row>
    <row r="70" spans="1:6">
      <c r="A70" s="590" t="s">
        <v>618</v>
      </c>
      <c r="B70" s="67">
        <f>IF(SUM(amortizations!B49,amortizations!B97,amortizations!B114,amortizations!B131)=0, 0, SUM(amortizations!B49,amortizations!B97,amortizations!B114,amortizations!B131))</f>
        <v>0</v>
      </c>
      <c r="C70" s="97">
        <f>B70/12</f>
        <v>0</v>
      </c>
      <c r="D70" s="325" t="e">
        <f>C70/assumptions!$B$4</f>
        <v>#DIV/0!</v>
      </c>
      <c r="E70" s="97" t="e">
        <f>B70/assumptions!$B$4</f>
        <v>#DIV/0!</v>
      </c>
    </row>
    <row r="71" spans="1:6">
      <c r="A71" s="590" t="s">
        <v>619</v>
      </c>
      <c r="B71" s="67"/>
      <c r="C71" s="143">
        <f>B71/12</f>
        <v>0</v>
      </c>
      <c r="D71" s="325" t="e">
        <f>C71/assumptions!$B$4</f>
        <v>#DIV/0!</v>
      </c>
      <c r="E71" s="97" t="e">
        <f>B71/assumptions!$B$4</f>
        <v>#DIV/0!</v>
      </c>
    </row>
    <row r="72" spans="1:6" ht="14.4" outlineLevel="1">
      <c r="A72" s="790" t="s">
        <v>347</v>
      </c>
      <c r="B72" s="67"/>
      <c r="C72" s="143">
        <f>B72/12</f>
        <v>0</v>
      </c>
      <c r="D72" s="325" t="e">
        <f>C72/assumptions!$B$4</f>
        <v>#DIV/0!</v>
      </c>
      <c r="E72" s="97" t="e">
        <f>B72/assumptions!$B$4</f>
        <v>#DIV/0!</v>
      </c>
    </row>
    <row r="73" spans="1:6" ht="14.4" outlineLevel="1">
      <c r="A73" s="790" t="s">
        <v>347</v>
      </c>
      <c r="B73" s="67"/>
      <c r="C73" s="143">
        <f t="shared" ref="C73:C74" si="10">B73/12</f>
        <v>0</v>
      </c>
      <c r="D73" s="325" t="e">
        <f>C73/assumptions!$B$4</f>
        <v>#DIV/0!</v>
      </c>
      <c r="E73" s="97" t="e">
        <f>B73/assumptions!$B$4</f>
        <v>#DIV/0!</v>
      </c>
    </row>
    <row r="74" spans="1:6" ht="14.4" outlineLevel="1">
      <c r="A74" s="790" t="s">
        <v>347</v>
      </c>
      <c r="B74" s="67"/>
      <c r="C74" s="143">
        <f t="shared" si="10"/>
        <v>0</v>
      </c>
      <c r="D74" s="325" t="e">
        <f>C74/assumptions!$B$4</f>
        <v>#DIV/0!</v>
      </c>
      <c r="E74" s="97" t="e">
        <f>B74/assumptions!$B$4</f>
        <v>#DIV/0!</v>
      </c>
    </row>
    <row r="75" spans="1:6" ht="14.4" thickBot="1">
      <c r="A75" s="754" t="s">
        <v>620</v>
      </c>
      <c r="B75" s="189">
        <f>SUM(B69:B74)</f>
        <v>0</v>
      </c>
      <c r="C75" s="189">
        <f>B75/12</f>
        <v>0</v>
      </c>
      <c r="D75" s="326" t="e">
        <f>C75/assumptions!$B$4</f>
        <v>#DIV/0!</v>
      </c>
      <c r="E75" s="189" t="e">
        <f>B75/assumptions!$B$4</f>
        <v>#DIV/0!</v>
      </c>
    </row>
    <row r="76" spans="1:6">
      <c r="A76" s="669"/>
      <c r="B76" s="122"/>
      <c r="C76" s="122"/>
      <c r="D76" s="325"/>
      <c r="E76" s="105"/>
    </row>
    <row r="77" spans="1:6" ht="14.4" thickBot="1">
      <c r="A77" s="758" t="s">
        <v>621</v>
      </c>
      <c r="B77" s="75">
        <v>0</v>
      </c>
      <c r="C77" s="130">
        <f>B77/12</f>
        <v>0</v>
      </c>
      <c r="D77" s="329" t="e">
        <f>C77/assumptions!$B$4</f>
        <v>#DIV/0!</v>
      </c>
      <c r="E77" s="130" t="e">
        <f>B77/assumptions!$B$4</f>
        <v>#DIV/0!</v>
      </c>
      <c r="F77" s="759" t="s">
        <v>622</v>
      </c>
    </row>
    <row r="78" spans="1:6">
      <c r="B78" s="97"/>
      <c r="C78" s="97"/>
      <c r="D78" s="325"/>
      <c r="E78" s="105"/>
      <c r="F78" s="760" t="s">
        <v>623</v>
      </c>
    </row>
    <row r="79" spans="1:6" ht="16.5" customHeight="1" thickBot="1">
      <c r="A79" s="761" t="s">
        <v>502</v>
      </c>
      <c r="B79" s="131">
        <f>B77+B75+B66+B54+B38+B26+B22</f>
        <v>0</v>
      </c>
      <c r="C79" s="131">
        <f>B79/12</f>
        <v>0</v>
      </c>
      <c r="D79" s="330" t="e">
        <f>C79/assumptions!$B$4</f>
        <v>#DIV/0!</v>
      </c>
      <c r="E79" s="131" t="e">
        <f>B79/assumptions!$B$4</f>
        <v>#DIV/0!</v>
      </c>
      <c r="F79" s="132" t="e">
        <f>D22+D26+D38+D54+D66</f>
        <v>#DIV/0!</v>
      </c>
    </row>
    <row r="80" spans="1:6" ht="14.4" thickTop="1"/>
  </sheetData>
  <sheetProtection algorithmName="SHA-512" hashValue="g1BKLOj2QN+uHGelZYr2i0a1gzMAmZ1lle8lUfr55UnJpIESOUcg4ruCMbzbJzKZ9YO/MMbW83RtlKHG9BmRMQ==" saltValue="2PGdMh+NpitXpRv/7ZgK2A==" spinCount="100000" sheet="1" formatCells="0" formatColumns="0" formatRows="0"/>
  <sortState xmlns:xlrd2="http://schemas.microsoft.com/office/spreadsheetml/2017/richdata2" ref="A40:F47">
    <sortCondition ref="A40:A47"/>
  </sortState>
  <phoneticPr fontId="0" type="noConversion"/>
  <dataValidations count="1">
    <dataValidation allowBlank="1" showErrorMessage="1" error="Enter whole numbers" sqref="B5:B21" xr:uid="{51F1AA4D-B975-4024-882C-596E62FACBCF}"/>
  </dataValidations>
  <pageMargins left="0.75" right="0.75" top="1" bottom="1" header="0.5" footer="0.5"/>
  <pageSetup scale="77" orientation="portrait" r:id="rId1"/>
  <headerFooter alignWithMargins="0">
    <oddFooter>&amp;L&amp;F
&amp;D&amp;T&amp;R&amp;"Times New Roman,Regular"&amp;8revision date:  8/6/2007</oddFooter>
  </headerFooter>
  <ignoredErrors>
    <ignoredError sqref="C36:E37 C34:E34 C5:E21 C79 E79 C39:E78 C38 C23:E32 E22" evalError="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F81"/>
  <sheetViews>
    <sheetView zoomScale="81" zoomScaleNormal="81" workbookViewId="0">
      <pane ySplit="2" topLeftCell="A3" activePane="bottomLeft" state="frozen"/>
      <selection pane="bottomLeft"/>
    </sheetView>
  </sheetViews>
  <sheetFormatPr defaultColWidth="8.75" defaultRowHeight="13.8"/>
  <cols>
    <col min="1" max="1" width="31.25" style="584" bestFit="1" customWidth="1"/>
    <col min="2" max="5" width="9.75" style="584" customWidth="1"/>
    <col min="6" max="12" width="8.75" style="584" bestFit="1" customWidth="1"/>
    <col min="13" max="13" width="8.75" style="584" customWidth="1"/>
    <col min="14" max="16" width="8.75" style="584" bestFit="1" customWidth="1"/>
    <col min="17" max="17" width="10.1640625" style="584" customWidth="1"/>
    <col min="18" max="26" width="8.75" style="584" bestFit="1" customWidth="1"/>
    <col min="27" max="27" width="10" style="584" bestFit="1" customWidth="1"/>
    <col min="28" max="28" width="8.75" style="584" bestFit="1" customWidth="1"/>
    <col min="29" max="16384" width="8.75" style="584"/>
  </cols>
  <sheetData>
    <row r="1" spans="1:32">
      <c r="A1" s="581" t="str">
        <f>assumptions!B2</f>
        <v>enter date</v>
      </c>
      <c r="B1" s="648" t="str">
        <f>assumptions!B1</f>
        <v>enter project name</v>
      </c>
      <c r="C1" s="762"/>
      <c r="D1" s="763"/>
      <c r="E1" s="763"/>
      <c r="F1" s="764"/>
      <c r="G1" s="763"/>
      <c r="H1" s="763"/>
      <c r="I1" s="763"/>
      <c r="J1" s="763"/>
      <c r="K1" s="763"/>
      <c r="L1" s="763"/>
      <c r="M1" s="763"/>
      <c r="N1" s="763"/>
      <c r="O1" s="763"/>
      <c r="P1" s="763"/>
      <c r="Q1" s="763"/>
      <c r="R1" s="763"/>
      <c r="S1" s="763"/>
      <c r="T1" s="763"/>
      <c r="U1" s="763"/>
      <c r="V1" s="763"/>
      <c r="W1" s="763"/>
      <c r="X1" s="763"/>
      <c r="Y1" s="763"/>
      <c r="Z1" s="764" t="s">
        <v>624</v>
      </c>
      <c r="AA1" s="764">
        <f ca="1">NOW()</f>
        <v>46069.345415509262</v>
      </c>
      <c r="AB1" s="763"/>
      <c r="AC1" s="763"/>
      <c r="AD1" s="763"/>
      <c r="AE1" s="763"/>
      <c r="AF1" s="763"/>
    </row>
    <row r="2" spans="1:32">
      <c r="A2" s="763"/>
      <c r="B2" s="765" t="s">
        <v>625</v>
      </c>
      <c r="C2" s="763">
        <v>1</v>
      </c>
      <c r="D2" s="763">
        <f t="shared" ref="D2:S2" si="0">C2+1</f>
        <v>2</v>
      </c>
      <c r="E2" s="763">
        <f t="shared" si="0"/>
        <v>3</v>
      </c>
      <c r="F2" s="763">
        <f t="shared" si="0"/>
        <v>4</v>
      </c>
      <c r="G2" s="763">
        <f t="shared" si="0"/>
        <v>5</v>
      </c>
      <c r="H2" s="763">
        <f t="shared" si="0"/>
        <v>6</v>
      </c>
      <c r="I2" s="763">
        <f t="shared" si="0"/>
        <v>7</v>
      </c>
      <c r="J2" s="763">
        <f t="shared" si="0"/>
        <v>8</v>
      </c>
      <c r="K2" s="763">
        <f t="shared" si="0"/>
        <v>9</v>
      </c>
      <c r="L2" s="763">
        <f t="shared" si="0"/>
        <v>10</v>
      </c>
      <c r="M2" s="763">
        <f t="shared" si="0"/>
        <v>11</v>
      </c>
      <c r="N2" s="763">
        <f t="shared" si="0"/>
        <v>12</v>
      </c>
      <c r="O2" s="763">
        <f t="shared" si="0"/>
        <v>13</v>
      </c>
      <c r="P2" s="763">
        <f t="shared" si="0"/>
        <v>14</v>
      </c>
      <c r="Q2" s="763">
        <f t="shared" si="0"/>
        <v>15</v>
      </c>
      <c r="R2" s="763">
        <f t="shared" si="0"/>
        <v>16</v>
      </c>
      <c r="S2" s="763">
        <f t="shared" si="0"/>
        <v>17</v>
      </c>
      <c r="T2" s="763">
        <f t="shared" ref="T2:AF2" si="1">S2+1</f>
        <v>18</v>
      </c>
      <c r="U2" s="763">
        <f t="shared" si="1"/>
        <v>19</v>
      </c>
      <c r="V2" s="763">
        <f t="shared" si="1"/>
        <v>20</v>
      </c>
      <c r="W2" s="763">
        <f t="shared" si="1"/>
        <v>21</v>
      </c>
      <c r="X2" s="763">
        <f t="shared" si="1"/>
        <v>22</v>
      </c>
      <c r="Y2" s="763">
        <f t="shared" si="1"/>
        <v>23</v>
      </c>
      <c r="Z2" s="763">
        <f t="shared" si="1"/>
        <v>24</v>
      </c>
      <c r="AA2" s="763">
        <f t="shared" si="1"/>
        <v>25</v>
      </c>
      <c r="AB2" s="763">
        <f t="shared" si="1"/>
        <v>26</v>
      </c>
      <c r="AC2" s="763">
        <f t="shared" si="1"/>
        <v>27</v>
      </c>
      <c r="AD2" s="763">
        <f t="shared" si="1"/>
        <v>28</v>
      </c>
      <c r="AE2" s="763">
        <f t="shared" si="1"/>
        <v>29</v>
      </c>
      <c r="AF2" s="763">
        <f t="shared" si="1"/>
        <v>30</v>
      </c>
    </row>
    <row r="3" spans="1:32" s="658" customFormat="1">
      <c r="A3" s="766"/>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row>
    <row r="4" spans="1:32">
      <c r="A4" s="584" t="s">
        <v>626</v>
      </c>
    </row>
    <row r="5" spans="1:32">
      <c r="A5" s="669" t="s">
        <v>627</v>
      </c>
      <c r="B5" s="134">
        <f>IF(assumptions!$F$4=0,assumptions!$E$4,assumptions!$F$4)</f>
        <v>0.01</v>
      </c>
      <c r="C5" s="97">
        <f>'rent summary'!G25</f>
        <v>0</v>
      </c>
      <c r="D5" s="105">
        <f>C5*(1+$B$5)</f>
        <v>0</v>
      </c>
      <c r="E5" s="105">
        <f t="shared" ref="E5:AF5" si="2">D5*(1+$B$5)</f>
        <v>0</v>
      </c>
      <c r="F5" s="105">
        <f t="shared" si="2"/>
        <v>0</v>
      </c>
      <c r="G5" s="105">
        <f t="shared" si="2"/>
        <v>0</v>
      </c>
      <c r="H5" s="105">
        <f t="shared" si="2"/>
        <v>0</v>
      </c>
      <c r="I5" s="105">
        <f t="shared" si="2"/>
        <v>0</v>
      </c>
      <c r="J5" s="105">
        <f t="shared" si="2"/>
        <v>0</v>
      </c>
      <c r="K5" s="105">
        <f t="shared" si="2"/>
        <v>0</v>
      </c>
      <c r="L5" s="105">
        <f t="shared" si="2"/>
        <v>0</v>
      </c>
      <c r="M5" s="105">
        <f t="shared" si="2"/>
        <v>0</v>
      </c>
      <c r="N5" s="105">
        <f t="shared" si="2"/>
        <v>0</v>
      </c>
      <c r="O5" s="105">
        <f t="shared" si="2"/>
        <v>0</v>
      </c>
      <c r="P5" s="105">
        <f t="shared" si="2"/>
        <v>0</v>
      </c>
      <c r="Q5" s="105">
        <f t="shared" si="2"/>
        <v>0</v>
      </c>
      <c r="R5" s="105">
        <f t="shared" si="2"/>
        <v>0</v>
      </c>
      <c r="S5" s="105">
        <f t="shared" si="2"/>
        <v>0</v>
      </c>
      <c r="T5" s="105">
        <f t="shared" si="2"/>
        <v>0</v>
      </c>
      <c r="U5" s="105">
        <f t="shared" si="2"/>
        <v>0</v>
      </c>
      <c r="V5" s="105">
        <f t="shared" si="2"/>
        <v>0</v>
      </c>
      <c r="W5" s="105">
        <f t="shared" si="2"/>
        <v>0</v>
      </c>
      <c r="X5" s="105">
        <f t="shared" si="2"/>
        <v>0</v>
      </c>
      <c r="Y5" s="105">
        <f t="shared" si="2"/>
        <v>0</v>
      </c>
      <c r="Z5" s="105">
        <f t="shared" si="2"/>
        <v>0</v>
      </c>
      <c r="AA5" s="105">
        <f t="shared" si="2"/>
        <v>0</v>
      </c>
      <c r="AB5" s="105">
        <f t="shared" si="2"/>
        <v>0</v>
      </c>
      <c r="AC5" s="105">
        <f t="shared" si="2"/>
        <v>0</v>
      </c>
      <c r="AD5" s="105">
        <f t="shared" si="2"/>
        <v>0</v>
      </c>
      <c r="AE5" s="105">
        <f t="shared" si="2"/>
        <v>0</v>
      </c>
      <c r="AF5" s="105">
        <f t="shared" si="2"/>
        <v>0</v>
      </c>
    </row>
    <row r="6" spans="1:32">
      <c r="A6" s="669" t="s">
        <v>243</v>
      </c>
      <c r="B6" s="134">
        <f>IF(assumptions!$F$5=0,assumptions!$E$5,assumptions!$F$5)</f>
        <v>0.01</v>
      </c>
      <c r="C6" s="97">
        <f>SUM('rent summary'!G32:G37)</f>
        <v>0</v>
      </c>
      <c r="D6" s="97">
        <f>C6*(1+$B$6)</f>
        <v>0</v>
      </c>
      <c r="E6" s="97">
        <f t="shared" ref="E6:AF6" si="3">D6*(1+$B$6)</f>
        <v>0</v>
      </c>
      <c r="F6" s="97">
        <f t="shared" si="3"/>
        <v>0</v>
      </c>
      <c r="G6" s="97">
        <f t="shared" si="3"/>
        <v>0</v>
      </c>
      <c r="H6" s="97">
        <f t="shared" si="3"/>
        <v>0</v>
      </c>
      <c r="I6" s="97">
        <f t="shared" si="3"/>
        <v>0</v>
      </c>
      <c r="J6" s="97">
        <f t="shared" si="3"/>
        <v>0</v>
      </c>
      <c r="K6" s="97">
        <f>J6*(1+$B$6)</f>
        <v>0</v>
      </c>
      <c r="L6" s="97">
        <f t="shared" si="3"/>
        <v>0</v>
      </c>
      <c r="M6" s="97">
        <f t="shared" si="3"/>
        <v>0</v>
      </c>
      <c r="N6" s="97">
        <f t="shared" si="3"/>
        <v>0</v>
      </c>
      <c r="O6" s="97">
        <f t="shared" si="3"/>
        <v>0</v>
      </c>
      <c r="P6" s="97">
        <f t="shared" si="3"/>
        <v>0</v>
      </c>
      <c r="Q6" s="97">
        <f t="shared" si="3"/>
        <v>0</v>
      </c>
      <c r="R6" s="97">
        <f t="shared" si="3"/>
        <v>0</v>
      </c>
      <c r="S6" s="97">
        <f t="shared" si="3"/>
        <v>0</v>
      </c>
      <c r="T6" s="97">
        <f t="shared" si="3"/>
        <v>0</v>
      </c>
      <c r="U6" s="97">
        <f t="shared" si="3"/>
        <v>0</v>
      </c>
      <c r="V6" s="97">
        <f t="shared" si="3"/>
        <v>0</v>
      </c>
      <c r="W6" s="97">
        <f t="shared" si="3"/>
        <v>0</v>
      </c>
      <c r="X6" s="97">
        <f t="shared" si="3"/>
        <v>0</v>
      </c>
      <c r="Y6" s="97">
        <f t="shared" si="3"/>
        <v>0</v>
      </c>
      <c r="Z6" s="97">
        <f t="shared" si="3"/>
        <v>0</v>
      </c>
      <c r="AA6" s="97">
        <f t="shared" si="3"/>
        <v>0</v>
      </c>
      <c r="AB6" s="97">
        <f t="shared" si="3"/>
        <v>0</v>
      </c>
      <c r="AC6" s="97">
        <f t="shared" si="3"/>
        <v>0</v>
      </c>
      <c r="AD6" s="97">
        <f t="shared" si="3"/>
        <v>0</v>
      </c>
      <c r="AE6" s="97">
        <f t="shared" si="3"/>
        <v>0</v>
      </c>
      <c r="AF6" s="97">
        <f t="shared" si="3"/>
        <v>0</v>
      </c>
    </row>
    <row r="7" spans="1:32">
      <c r="A7" s="669" t="s">
        <v>628</v>
      </c>
      <c r="B7" s="134">
        <f>IF(assumptions!$F$9=0,assumptions!$E$9,assumptions!$F$9)</f>
        <v>0.05</v>
      </c>
      <c r="C7" s="97">
        <f>'rent summary'!G28</f>
        <v>0</v>
      </c>
      <c r="D7" s="97">
        <f>C7*(1+$B$7)</f>
        <v>0</v>
      </c>
      <c r="E7" s="97">
        <f t="shared" ref="E7:AF7" si="4">D7*(1+$B$7)</f>
        <v>0</v>
      </c>
      <c r="F7" s="97">
        <f t="shared" si="4"/>
        <v>0</v>
      </c>
      <c r="G7" s="97">
        <f t="shared" si="4"/>
        <v>0</v>
      </c>
      <c r="H7" s="97">
        <f t="shared" si="4"/>
        <v>0</v>
      </c>
      <c r="I7" s="97">
        <f t="shared" si="4"/>
        <v>0</v>
      </c>
      <c r="J7" s="97">
        <f t="shared" si="4"/>
        <v>0</v>
      </c>
      <c r="K7" s="97">
        <f>J7*(1+$B$7)</f>
        <v>0</v>
      </c>
      <c r="L7" s="97">
        <f t="shared" si="4"/>
        <v>0</v>
      </c>
      <c r="M7" s="97">
        <f t="shared" si="4"/>
        <v>0</v>
      </c>
      <c r="N7" s="97">
        <f t="shared" si="4"/>
        <v>0</v>
      </c>
      <c r="O7" s="97">
        <f t="shared" si="4"/>
        <v>0</v>
      </c>
      <c r="P7" s="97">
        <f t="shared" si="4"/>
        <v>0</v>
      </c>
      <c r="Q7" s="97">
        <f t="shared" si="4"/>
        <v>0</v>
      </c>
      <c r="R7" s="97">
        <f t="shared" si="4"/>
        <v>0</v>
      </c>
      <c r="S7" s="97">
        <f t="shared" si="4"/>
        <v>0</v>
      </c>
      <c r="T7" s="97">
        <f t="shared" si="4"/>
        <v>0</v>
      </c>
      <c r="U7" s="97">
        <f t="shared" si="4"/>
        <v>0</v>
      </c>
      <c r="V7" s="97">
        <f t="shared" si="4"/>
        <v>0</v>
      </c>
      <c r="W7" s="97">
        <f t="shared" si="4"/>
        <v>0</v>
      </c>
      <c r="X7" s="97">
        <f t="shared" si="4"/>
        <v>0</v>
      </c>
      <c r="Y7" s="97">
        <f t="shared" si="4"/>
        <v>0</v>
      </c>
      <c r="Z7" s="97">
        <f t="shared" si="4"/>
        <v>0</v>
      </c>
      <c r="AA7" s="97">
        <f t="shared" si="4"/>
        <v>0</v>
      </c>
      <c r="AB7" s="97">
        <f t="shared" si="4"/>
        <v>0</v>
      </c>
      <c r="AC7" s="97">
        <f t="shared" si="4"/>
        <v>0</v>
      </c>
      <c r="AD7" s="97">
        <f t="shared" si="4"/>
        <v>0</v>
      </c>
      <c r="AE7" s="97">
        <f t="shared" si="4"/>
        <v>0</v>
      </c>
      <c r="AF7" s="97">
        <f t="shared" si="4"/>
        <v>0</v>
      </c>
    </row>
    <row r="8" spans="1:32">
      <c r="A8" s="669" t="s">
        <v>629</v>
      </c>
      <c r="C8" s="121">
        <f>SUM(C5:C7)</f>
        <v>0</v>
      </c>
      <c r="D8" s="121">
        <f t="shared" ref="D8:R8" si="5">SUM(D5:D7)</f>
        <v>0</v>
      </c>
      <c r="E8" s="121">
        <f t="shared" si="5"/>
        <v>0</v>
      </c>
      <c r="F8" s="121">
        <f t="shared" si="5"/>
        <v>0</v>
      </c>
      <c r="G8" s="121">
        <f t="shared" si="5"/>
        <v>0</v>
      </c>
      <c r="H8" s="121">
        <f t="shared" si="5"/>
        <v>0</v>
      </c>
      <c r="I8" s="121">
        <f t="shared" si="5"/>
        <v>0</v>
      </c>
      <c r="J8" s="121">
        <f t="shared" si="5"/>
        <v>0</v>
      </c>
      <c r="K8" s="121">
        <f t="shared" si="5"/>
        <v>0</v>
      </c>
      <c r="L8" s="121">
        <f t="shared" si="5"/>
        <v>0</v>
      </c>
      <c r="M8" s="121">
        <f t="shared" si="5"/>
        <v>0</v>
      </c>
      <c r="N8" s="121">
        <f t="shared" si="5"/>
        <v>0</v>
      </c>
      <c r="O8" s="121">
        <f t="shared" si="5"/>
        <v>0</v>
      </c>
      <c r="P8" s="121">
        <f t="shared" si="5"/>
        <v>0</v>
      </c>
      <c r="Q8" s="121">
        <f t="shared" si="5"/>
        <v>0</v>
      </c>
      <c r="R8" s="121">
        <f t="shared" si="5"/>
        <v>0</v>
      </c>
      <c r="S8" s="121">
        <f t="shared" ref="S8:AF8" si="6">SUM(S5:S7)</f>
        <v>0</v>
      </c>
      <c r="T8" s="121">
        <f t="shared" si="6"/>
        <v>0</v>
      </c>
      <c r="U8" s="121">
        <f t="shared" si="6"/>
        <v>0</v>
      </c>
      <c r="V8" s="121">
        <f t="shared" si="6"/>
        <v>0</v>
      </c>
      <c r="W8" s="121">
        <f t="shared" si="6"/>
        <v>0</v>
      </c>
      <c r="X8" s="121">
        <f t="shared" si="6"/>
        <v>0</v>
      </c>
      <c r="Y8" s="121">
        <f t="shared" si="6"/>
        <v>0</v>
      </c>
      <c r="Z8" s="121">
        <f t="shared" si="6"/>
        <v>0</v>
      </c>
      <c r="AA8" s="121">
        <f t="shared" si="6"/>
        <v>0</v>
      </c>
      <c r="AB8" s="121">
        <f t="shared" si="6"/>
        <v>0</v>
      </c>
      <c r="AC8" s="121">
        <f t="shared" si="6"/>
        <v>0</v>
      </c>
      <c r="AD8" s="121">
        <f t="shared" si="6"/>
        <v>0</v>
      </c>
      <c r="AE8" s="121">
        <f t="shared" si="6"/>
        <v>0</v>
      </c>
      <c r="AF8" s="121">
        <f t="shared" si="6"/>
        <v>0</v>
      </c>
    </row>
    <row r="9" spans="1:32">
      <c r="A9" s="590" t="s">
        <v>246</v>
      </c>
      <c r="C9" s="122"/>
      <c r="D9" s="122"/>
      <c r="E9" s="122"/>
      <c r="F9" s="122"/>
      <c r="G9" s="122"/>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row>
    <row r="10" spans="1:32">
      <c r="A10" s="669" t="s">
        <v>630</v>
      </c>
      <c r="B10" s="134">
        <f>IF(assumptions!F8=0,assumptions!E8,assumptions!F8)</f>
        <v>2.5000000000000001E-2</v>
      </c>
      <c r="C10" s="97">
        <f>expenses!B79-expenses!B77-expenses!B69-expenses!B70</f>
        <v>0</v>
      </c>
      <c r="D10" s="97">
        <f>C10*(1+$B$10)</f>
        <v>0</v>
      </c>
      <c r="E10" s="97">
        <f t="shared" ref="E10:AE10" si="7">D10*(1+$B$10)</f>
        <v>0</v>
      </c>
      <c r="F10" s="97">
        <f t="shared" si="7"/>
        <v>0</v>
      </c>
      <c r="G10" s="97">
        <f t="shared" si="7"/>
        <v>0</v>
      </c>
      <c r="H10" s="97">
        <f t="shared" si="7"/>
        <v>0</v>
      </c>
      <c r="I10" s="97">
        <f t="shared" si="7"/>
        <v>0</v>
      </c>
      <c r="J10" s="97">
        <f t="shared" si="7"/>
        <v>0</v>
      </c>
      <c r="K10" s="97">
        <f t="shared" si="7"/>
        <v>0</v>
      </c>
      <c r="L10" s="97">
        <f t="shared" si="7"/>
        <v>0</v>
      </c>
      <c r="M10" s="97">
        <f t="shared" si="7"/>
        <v>0</v>
      </c>
      <c r="N10" s="97">
        <f t="shared" si="7"/>
        <v>0</v>
      </c>
      <c r="O10" s="97">
        <f t="shared" si="7"/>
        <v>0</v>
      </c>
      <c r="P10" s="97">
        <f t="shared" si="7"/>
        <v>0</v>
      </c>
      <c r="Q10" s="97">
        <f t="shared" si="7"/>
        <v>0</v>
      </c>
      <c r="R10" s="97">
        <f t="shared" si="7"/>
        <v>0</v>
      </c>
      <c r="S10" s="97">
        <f t="shared" si="7"/>
        <v>0</v>
      </c>
      <c r="T10" s="97">
        <f t="shared" si="7"/>
        <v>0</v>
      </c>
      <c r="U10" s="97">
        <f t="shared" si="7"/>
        <v>0</v>
      </c>
      <c r="V10" s="97">
        <f t="shared" si="7"/>
        <v>0</v>
      </c>
      <c r="W10" s="97">
        <f t="shared" si="7"/>
        <v>0</v>
      </c>
      <c r="X10" s="97">
        <f t="shared" si="7"/>
        <v>0</v>
      </c>
      <c r="Y10" s="97">
        <f t="shared" si="7"/>
        <v>0</v>
      </c>
      <c r="Z10" s="97">
        <f t="shared" si="7"/>
        <v>0</v>
      </c>
      <c r="AA10" s="97">
        <f t="shared" si="7"/>
        <v>0</v>
      </c>
      <c r="AB10" s="97">
        <f t="shared" si="7"/>
        <v>0</v>
      </c>
      <c r="AC10" s="97">
        <f t="shared" si="7"/>
        <v>0</v>
      </c>
      <c r="AD10" s="97">
        <f t="shared" si="7"/>
        <v>0</v>
      </c>
      <c r="AE10" s="97">
        <f t="shared" si="7"/>
        <v>0</v>
      </c>
      <c r="AF10" s="97">
        <f>AE10*(1+$B$10)</f>
        <v>0</v>
      </c>
    </row>
    <row r="11" spans="1:32">
      <c r="A11" s="669" t="s">
        <v>460</v>
      </c>
      <c r="B11" s="34">
        <v>0.03</v>
      </c>
      <c r="C11" s="97">
        <f>expenses!B77</f>
        <v>0</v>
      </c>
      <c r="D11" s="97">
        <f>C11*(1+$B$11)</f>
        <v>0</v>
      </c>
      <c r="E11" s="97">
        <f>D11*(1+$B$11)</f>
        <v>0</v>
      </c>
      <c r="F11" s="97">
        <f t="shared" ref="F11:AF11" si="8">E11*(1+$B$11)</f>
        <v>0</v>
      </c>
      <c r="G11" s="97">
        <f t="shared" si="8"/>
        <v>0</v>
      </c>
      <c r="H11" s="97">
        <f t="shared" si="8"/>
        <v>0</v>
      </c>
      <c r="I11" s="97">
        <f t="shared" si="8"/>
        <v>0</v>
      </c>
      <c r="J11" s="97">
        <f t="shared" si="8"/>
        <v>0</v>
      </c>
      <c r="K11" s="97">
        <f t="shared" si="8"/>
        <v>0</v>
      </c>
      <c r="L11" s="97">
        <f t="shared" si="8"/>
        <v>0</v>
      </c>
      <c r="M11" s="97">
        <f t="shared" si="8"/>
        <v>0</v>
      </c>
      <c r="N11" s="97">
        <f t="shared" si="8"/>
        <v>0</v>
      </c>
      <c r="O11" s="97">
        <f t="shared" si="8"/>
        <v>0</v>
      </c>
      <c r="P11" s="97">
        <f t="shared" si="8"/>
        <v>0</v>
      </c>
      <c r="Q11" s="97">
        <f t="shared" si="8"/>
        <v>0</v>
      </c>
      <c r="R11" s="97">
        <f t="shared" si="8"/>
        <v>0</v>
      </c>
      <c r="S11" s="97">
        <f t="shared" si="8"/>
        <v>0</v>
      </c>
      <c r="T11" s="97">
        <f t="shared" si="8"/>
        <v>0</v>
      </c>
      <c r="U11" s="97">
        <f t="shared" si="8"/>
        <v>0</v>
      </c>
      <c r="V11" s="97">
        <f t="shared" si="8"/>
        <v>0</v>
      </c>
      <c r="W11" s="97">
        <f t="shared" si="8"/>
        <v>0</v>
      </c>
      <c r="X11" s="97">
        <f t="shared" si="8"/>
        <v>0</v>
      </c>
      <c r="Y11" s="97">
        <f t="shared" si="8"/>
        <v>0</v>
      </c>
      <c r="Z11" s="97">
        <f t="shared" si="8"/>
        <v>0</v>
      </c>
      <c r="AA11" s="97">
        <f t="shared" si="8"/>
        <v>0</v>
      </c>
      <c r="AB11" s="97">
        <f t="shared" si="8"/>
        <v>0</v>
      </c>
      <c r="AC11" s="97">
        <f t="shared" si="8"/>
        <v>0</v>
      </c>
      <c r="AD11" s="97">
        <f t="shared" si="8"/>
        <v>0</v>
      </c>
      <c r="AE11" s="97">
        <f t="shared" si="8"/>
        <v>0</v>
      </c>
      <c r="AF11" s="97">
        <f t="shared" si="8"/>
        <v>0</v>
      </c>
    </row>
    <row r="12" spans="1:32">
      <c r="A12" s="669" t="s">
        <v>631</v>
      </c>
      <c r="C12" s="121">
        <f>C10+C11</f>
        <v>0</v>
      </c>
      <c r="D12" s="121">
        <f t="shared" ref="D12:AF12" si="9">D10+D11</f>
        <v>0</v>
      </c>
      <c r="E12" s="121">
        <f t="shared" si="9"/>
        <v>0</v>
      </c>
      <c r="F12" s="121">
        <f t="shared" si="9"/>
        <v>0</v>
      </c>
      <c r="G12" s="121">
        <f t="shared" si="9"/>
        <v>0</v>
      </c>
      <c r="H12" s="121">
        <f t="shared" si="9"/>
        <v>0</v>
      </c>
      <c r="I12" s="121">
        <f t="shared" si="9"/>
        <v>0</v>
      </c>
      <c r="J12" s="121">
        <f t="shared" si="9"/>
        <v>0</v>
      </c>
      <c r="K12" s="121">
        <f t="shared" si="9"/>
        <v>0</v>
      </c>
      <c r="L12" s="121">
        <f t="shared" si="9"/>
        <v>0</v>
      </c>
      <c r="M12" s="121">
        <f t="shared" si="9"/>
        <v>0</v>
      </c>
      <c r="N12" s="121">
        <f t="shared" si="9"/>
        <v>0</v>
      </c>
      <c r="O12" s="121">
        <f t="shared" si="9"/>
        <v>0</v>
      </c>
      <c r="P12" s="121">
        <f t="shared" si="9"/>
        <v>0</v>
      </c>
      <c r="Q12" s="121">
        <f t="shared" si="9"/>
        <v>0</v>
      </c>
      <c r="R12" s="121">
        <f t="shared" si="9"/>
        <v>0</v>
      </c>
      <c r="S12" s="121">
        <f t="shared" si="9"/>
        <v>0</v>
      </c>
      <c r="T12" s="121">
        <f t="shared" si="9"/>
        <v>0</v>
      </c>
      <c r="U12" s="121">
        <f t="shared" si="9"/>
        <v>0</v>
      </c>
      <c r="V12" s="121">
        <f t="shared" si="9"/>
        <v>0</v>
      </c>
      <c r="W12" s="121">
        <f t="shared" si="9"/>
        <v>0</v>
      </c>
      <c r="X12" s="121">
        <f t="shared" si="9"/>
        <v>0</v>
      </c>
      <c r="Y12" s="121">
        <f t="shared" si="9"/>
        <v>0</v>
      </c>
      <c r="Z12" s="121">
        <f t="shared" si="9"/>
        <v>0</v>
      </c>
      <c r="AA12" s="121">
        <f t="shared" si="9"/>
        <v>0</v>
      </c>
      <c r="AB12" s="121">
        <f t="shared" si="9"/>
        <v>0</v>
      </c>
      <c r="AC12" s="121">
        <f t="shared" si="9"/>
        <v>0</v>
      </c>
      <c r="AD12" s="121">
        <f t="shared" si="9"/>
        <v>0</v>
      </c>
      <c r="AE12" s="121">
        <f t="shared" si="9"/>
        <v>0</v>
      </c>
      <c r="AF12" s="121">
        <f t="shared" si="9"/>
        <v>0</v>
      </c>
    </row>
    <row r="13" spans="1:32">
      <c r="A13" s="669"/>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row>
    <row r="14" spans="1:32">
      <c r="A14" s="669" t="s">
        <v>632</v>
      </c>
      <c r="C14" s="122">
        <f>C8-C12</f>
        <v>0</v>
      </c>
      <c r="D14" s="122">
        <f t="shared" ref="D14:AF14" si="10">D8-D12</f>
        <v>0</v>
      </c>
      <c r="E14" s="122">
        <f t="shared" si="10"/>
        <v>0</v>
      </c>
      <c r="F14" s="122">
        <f t="shared" si="10"/>
        <v>0</v>
      </c>
      <c r="G14" s="122">
        <f t="shared" si="10"/>
        <v>0</v>
      </c>
      <c r="H14" s="122">
        <f t="shared" si="10"/>
        <v>0</v>
      </c>
      <c r="I14" s="122">
        <f t="shared" si="10"/>
        <v>0</v>
      </c>
      <c r="J14" s="122">
        <f t="shared" si="10"/>
        <v>0</v>
      </c>
      <c r="K14" s="122">
        <f t="shared" si="10"/>
        <v>0</v>
      </c>
      <c r="L14" s="122">
        <f t="shared" si="10"/>
        <v>0</v>
      </c>
      <c r="M14" s="122">
        <f t="shared" si="10"/>
        <v>0</v>
      </c>
      <c r="N14" s="122">
        <f t="shared" si="10"/>
        <v>0</v>
      </c>
      <c r="O14" s="122">
        <f t="shared" si="10"/>
        <v>0</v>
      </c>
      <c r="P14" s="122">
        <f t="shared" si="10"/>
        <v>0</v>
      </c>
      <c r="Q14" s="122">
        <f t="shared" si="10"/>
        <v>0</v>
      </c>
      <c r="R14" s="122">
        <f t="shared" si="10"/>
        <v>0</v>
      </c>
      <c r="S14" s="122">
        <f t="shared" si="10"/>
        <v>0</v>
      </c>
      <c r="T14" s="122">
        <f t="shared" si="10"/>
        <v>0</v>
      </c>
      <c r="U14" s="122">
        <f t="shared" si="10"/>
        <v>0</v>
      </c>
      <c r="V14" s="122">
        <f t="shared" si="10"/>
        <v>0</v>
      </c>
      <c r="W14" s="122">
        <f t="shared" si="10"/>
        <v>0</v>
      </c>
      <c r="X14" s="122">
        <f t="shared" si="10"/>
        <v>0</v>
      </c>
      <c r="Y14" s="122">
        <f t="shared" si="10"/>
        <v>0</v>
      </c>
      <c r="Z14" s="122">
        <f t="shared" si="10"/>
        <v>0</v>
      </c>
      <c r="AA14" s="122">
        <f t="shared" si="10"/>
        <v>0</v>
      </c>
      <c r="AB14" s="122">
        <f t="shared" si="10"/>
        <v>0</v>
      </c>
      <c r="AC14" s="122">
        <f t="shared" si="10"/>
        <v>0</v>
      </c>
      <c r="AD14" s="122">
        <f t="shared" si="10"/>
        <v>0</v>
      </c>
      <c r="AE14" s="122">
        <f t="shared" si="10"/>
        <v>0</v>
      </c>
      <c r="AF14" s="122">
        <f t="shared" si="10"/>
        <v>0</v>
      </c>
    </row>
    <row r="15" spans="1:32">
      <c r="A15" s="590"/>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row>
    <row r="16" spans="1:32">
      <c r="A16" s="669" t="s">
        <v>633</v>
      </c>
      <c r="C16" s="55">
        <f>IF(SUM(amortizations!B17,amortizations!B33,amortizations!B65,amortizations!B81)=0, 0, SUM(amortizations!B17,amortizations!B33,amortizations!B65,amortizations!B81))</f>
        <v>0</v>
      </c>
      <c r="D16" s="55">
        <f>IF(SUM(amortizations!C17,amortizations!C33,amortizations!C65,amortizations!C81)=0, 0, SUM(amortizations!C17,amortizations!C33,amortizations!C65,amortizations!C81))</f>
        <v>0</v>
      </c>
      <c r="E16" s="55">
        <f>IF(SUM(amortizations!D17,amortizations!D33,amortizations!D65,amortizations!D81)=0, 0, SUM(amortizations!D17,amortizations!D33,amortizations!D65,amortizations!D81))</f>
        <v>0</v>
      </c>
      <c r="F16" s="55">
        <f>IF(SUM(amortizations!E17,amortizations!E33,amortizations!E65,amortizations!E81)=0, 0, SUM(amortizations!E17,amortizations!E33,amortizations!E65,amortizations!E81))</f>
        <v>0</v>
      </c>
      <c r="G16" s="55">
        <f>IF(SUM(amortizations!F17,amortizations!F33,amortizations!F65,amortizations!F81)=0, 0, SUM(amortizations!F17,amortizations!F33,amortizations!F65,amortizations!F81))</f>
        <v>0</v>
      </c>
      <c r="H16" s="55">
        <f>IF(SUM(amortizations!G17,amortizations!G33,amortizations!G65,amortizations!G81)=0, 0, SUM(amortizations!G17,amortizations!G33,amortizations!G65,amortizations!G81))</f>
        <v>0</v>
      </c>
      <c r="I16" s="55">
        <f>IF(SUM(amortizations!H17,amortizations!H33,amortizations!H65,amortizations!H81)=0, 0, SUM(amortizations!H17,amortizations!H33,amortizations!H65,amortizations!H81))</f>
        <v>0</v>
      </c>
      <c r="J16" s="55">
        <f>IF(SUM(amortizations!I17,amortizations!I33,amortizations!I65,amortizations!I81)=0, 0, SUM(amortizations!I17,amortizations!I33,amortizations!I65,amortizations!I81))</f>
        <v>0</v>
      </c>
      <c r="K16" s="55">
        <f>IF(SUM(amortizations!J17,amortizations!J33,amortizations!J65,amortizations!J81)=0, 0, SUM(amortizations!J17,amortizations!J33,amortizations!J65,amortizations!J81))</f>
        <v>0</v>
      </c>
      <c r="L16" s="55">
        <f>IF(SUM(amortizations!K17,amortizations!K33,amortizations!K65,amortizations!K81)=0, 0, SUM(amortizations!K17,amortizations!K33,amortizations!K65,amortizations!K81))</f>
        <v>0</v>
      </c>
      <c r="M16" s="55">
        <f>IF(SUM(amortizations!L17,amortizations!L33,amortizations!L65,amortizations!L81)=0, 0, SUM(amortizations!L17,amortizations!L33,amortizations!L65,amortizations!L81))</f>
        <v>0</v>
      </c>
      <c r="N16" s="55">
        <f>IF(SUM(amortizations!M17,amortizations!M33,amortizations!M65,amortizations!M81)=0, 0, SUM(amortizations!M17,amortizations!M33,amortizations!M65,amortizations!M81))</f>
        <v>0</v>
      </c>
      <c r="O16" s="55">
        <f>IF(SUM(amortizations!N17,amortizations!N33,amortizations!N65,amortizations!N81)=0, 0, SUM(amortizations!N17,amortizations!N33,amortizations!N65,amortizations!N81))</f>
        <v>0</v>
      </c>
      <c r="P16" s="55">
        <f>IF(SUM(amortizations!O17,amortizations!O33,amortizations!O65,amortizations!O81)=0, 0, SUM(amortizations!O17,amortizations!O33,amortizations!O65,amortizations!O81))</f>
        <v>0</v>
      </c>
      <c r="Q16" s="55">
        <f>IF(SUM(amortizations!P17,amortizations!P33,amortizations!P65,amortizations!P81)=0, 0, SUM(amortizations!P17,amortizations!P33,amortizations!P65,amortizations!P81))</f>
        <v>0</v>
      </c>
      <c r="R16" s="55">
        <f>IF(SUM(amortizations!Q17,amortizations!Q33,amortizations!Q65,amortizations!Q81)=0, 0, SUM(amortizations!Q17,amortizations!Q33,amortizations!Q65,amortizations!Q81))</f>
        <v>0</v>
      </c>
      <c r="S16" s="55">
        <f>IF(SUM(amortizations!R17,amortizations!R33,amortizations!R65,amortizations!R81)=0, 0, SUM(amortizations!R17,amortizations!R33,amortizations!R65,amortizations!R81))</f>
        <v>0</v>
      </c>
      <c r="T16" s="55">
        <f>IF(SUM(amortizations!S17,amortizations!S33,amortizations!S65,amortizations!S81)=0, 0, SUM(amortizations!S17,amortizations!S33,amortizations!S65,amortizations!S81))</f>
        <v>0</v>
      </c>
      <c r="U16" s="55">
        <f>IF(SUM(amortizations!T17,amortizations!T33,amortizations!T65,amortizations!T81)=0, 0, SUM(amortizations!T17,amortizations!T33,amortizations!T65,amortizations!T81))</f>
        <v>0</v>
      </c>
      <c r="V16" s="55">
        <f>IF(SUM(amortizations!U17,amortizations!U33,amortizations!U65,amortizations!U81)=0, 0, SUM(amortizations!U17,amortizations!U33,amortizations!U65,amortizations!U81))</f>
        <v>0</v>
      </c>
      <c r="W16" s="55">
        <f>IF(SUM(amortizations!V17,amortizations!V33,amortizations!V65,amortizations!V81)=0, 0, SUM(amortizations!V17,amortizations!V33,amortizations!V65,amortizations!V81))</f>
        <v>0</v>
      </c>
      <c r="X16" s="55">
        <f>IF(SUM(amortizations!W17,amortizations!W33,amortizations!W65,amortizations!W81)=0, 0, SUM(amortizations!W17,amortizations!W33,amortizations!W65,amortizations!W81))</f>
        <v>0</v>
      </c>
      <c r="Y16" s="55">
        <f>IF(SUM(amortizations!X17,amortizations!X33,amortizations!X65,amortizations!X81)=0, 0, SUM(amortizations!X17,amortizations!X33,amortizations!X65,amortizations!X81))</f>
        <v>0</v>
      </c>
      <c r="Z16" s="55">
        <f>IF(SUM(amortizations!Y17,amortizations!Y33,amortizations!Y65,amortizations!Y81)=0, 0, SUM(amortizations!Y17,amortizations!Y33,amortizations!Y65,amortizations!Y81))</f>
        <v>0</v>
      </c>
      <c r="AA16" s="55">
        <f>IF(SUM(amortizations!Z17,amortizations!Z33,amortizations!Z65,amortizations!Z81)=0, 0, SUM(amortizations!Z17,amortizations!Z33,amortizations!Z65,amortizations!Z81))</f>
        <v>0</v>
      </c>
      <c r="AB16" s="55">
        <f>IF(SUM(amortizations!AA17,amortizations!AA33,amortizations!AA65,amortizations!AA81)=0, 0, SUM(amortizations!AA17,amortizations!AA33,amortizations!AA65,amortizations!AA81))</f>
        <v>0</v>
      </c>
      <c r="AC16" s="55">
        <f>IF(SUM(amortizations!AB17,amortizations!AB33,amortizations!AB65,amortizations!AB81)=0, 0, SUM(amortizations!AB17,amortizations!AB33,amortizations!AB65,amortizations!AB81))</f>
        <v>0</v>
      </c>
      <c r="AD16" s="55">
        <f>IF(SUM(amortizations!AC17,amortizations!AC33,amortizations!AC65,amortizations!AC81)=0, 0, SUM(amortizations!AC17,amortizations!AC33,amortizations!AC65,amortizations!AC81))</f>
        <v>0</v>
      </c>
      <c r="AE16" s="55">
        <f>IF(SUM(amortizations!AD17,amortizations!AD33,amortizations!AD65,amortizations!AD81)=0, 0, SUM(amortizations!AD17,amortizations!AD33,amortizations!AD65,amortizations!AD81))</f>
        <v>0</v>
      </c>
      <c r="AF16" s="55">
        <f>IF(SUM(amortizations!AE17,amortizations!AE33,amortizations!AE65,amortizations!AE81)=0, 0, SUM(amortizations!AE17,amortizations!AE33,amortizations!AE65,amortizations!AE81))</f>
        <v>0</v>
      </c>
    </row>
    <row r="17" spans="1:32">
      <c r="A17" s="669" t="s">
        <v>634</v>
      </c>
      <c r="C17" s="55">
        <f>IF(SUM(amortizations!B49,amortizations!B97,amortizations!B114,amortizations!B131)=0, 0, SUM(amortizations!B49,amortizations!B97,amortizations!B114,amortizations!B131))</f>
        <v>0</v>
      </c>
      <c r="D17" s="55">
        <f>IF(SUM(amortizations!C49,amortizations!C97,amortizations!C114,amortizations!C131)=0, 0, SUM(amortizations!C49,amortizations!C97,amortizations!C114,amortizations!C131))</f>
        <v>0</v>
      </c>
      <c r="E17" s="55">
        <f>IF(SUM(amortizations!D49,amortizations!D97,amortizations!D114,amortizations!D131)=0, 0, SUM(amortizations!D49,amortizations!D97,amortizations!D114,amortizations!D131))</f>
        <v>0</v>
      </c>
      <c r="F17" s="55">
        <f>IF(SUM(amortizations!E49,amortizations!E97,amortizations!E114,amortizations!E131)=0, 0, SUM(amortizations!E49,amortizations!E97,amortizations!E114,amortizations!E131))</f>
        <v>0</v>
      </c>
      <c r="G17" s="55">
        <f>IF(SUM(amortizations!F49,amortizations!F97,amortizations!F114,amortizations!F131)=0, 0, SUM(amortizations!F49,amortizations!F97,amortizations!F114,amortizations!F131))</f>
        <v>0</v>
      </c>
      <c r="H17" s="55">
        <f>IF(SUM(amortizations!G49,amortizations!G97,amortizations!G114,amortizations!G131)=0, 0, SUM(amortizations!G49,amortizations!G97,amortizations!G114,amortizations!G131))</f>
        <v>0</v>
      </c>
      <c r="I17" s="55">
        <f>IF(SUM(amortizations!H49,amortizations!H97,amortizations!H114,amortizations!H131)=0, 0, SUM(amortizations!H49,amortizations!H97,amortizations!H114,amortizations!H131))</f>
        <v>0</v>
      </c>
      <c r="J17" s="55">
        <f>IF(SUM(amortizations!I49,amortizations!I97,amortizations!I114,amortizations!I131)=0, 0, SUM(amortizations!I49,amortizations!I97,amortizations!I114,amortizations!I131))</f>
        <v>0</v>
      </c>
      <c r="K17" s="55">
        <f>IF(SUM(amortizations!J49,amortizations!J97,amortizations!J114,amortizations!J131)=0, 0, SUM(amortizations!J49,amortizations!J97,amortizations!J114,amortizations!J131))</f>
        <v>0</v>
      </c>
      <c r="L17" s="55">
        <f>IF(SUM(amortizations!K49,amortizations!K97,amortizations!K114,amortizations!K131)=0, 0, SUM(amortizations!K49,amortizations!K97,amortizations!K114,amortizations!K131))</f>
        <v>0</v>
      </c>
      <c r="M17" s="55">
        <f>IF(SUM(amortizations!L49,amortizations!L97,amortizations!L114,amortizations!L131)=0, 0, SUM(amortizations!L49,amortizations!L97,amortizations!L114,amortizations!L131))</f>
        <v>0</v>
      </c>
      <c r="N17" s="55">
        <f>IF(SUM(amortizations!M49,amortizations!M97,amortizations!M114,amortizations!M131)=0, 0, SUM(amortizations!M49,amortizations!M97,amortizations!M114,amortizations!M131))</f>
        <v>0</v>
      </c>
      <c r="O17" s="55">
        <f>IF(SUM(amortizations!N49,amortizations!N97,amortizations!N114,amortizations!N131)=0, 0, SUM(amortizations!N49,amortizations!N97,amortizations!N114,amortizations!N131))</f>
        <v>0</v>
      </c>
      <c r="P17" s="55">
        <f>IF(SUM(amortizations!O49,amortizations!O97,amortizations!O114,amortizations!O131)=0, 0, SUM(amortizations!O49,amortizations!O97,amortizations!O114,amortizations!O131))</f>
        <v>0</v>
      </c>
      <c r="Q17" s="55">
        <f>IF(SUM(amortizations!P49,amortizations!P97,amortizations!P114,amortizations!P131)=0, 0, SUM(amortizations!P49,amortizations!P97,amortizations!P114,amortizations!P131))</f>
        <v>0</v>
      </c>
      <c r="R17" s="55">
        <f>IF(SUM(amortizations!Q49,amortizations!Q97,amortizations!Q114,amortizations!Q131)=0, 0, SUM(amortizations!Q49,amortizations!Q97,amortizations!Q114,amortizations!Q131))</f>
        <v>0</v>
      </c>
      <c r="S17" s="55">
        <f>IF(SUM(amortizations!R49,amortizations!R97,amortizations!R114,amortizations!R131)=0, 0, SUM(amortizations!R49,amortizations!R97,amortizations!R114,amortizations!R131))</f>
        <v>0</v>
      </c>
      <c r="T17" s="55">
        <f>IF(SUM(amortizations!S49,amortizations!S97,amortizations!S114,amortizations!S131)=0, 0, SUM(amortizations!S49,amortizations!S97,amortizations!S114,amortizations!S131))</f>
        <v>0</v>
      </c>
      <c r="U17" s="55">
        <f>IF(SUM(amortizations!T49,amortizations!T97,amortizations!T114,amortizations!T131)=0, 0, SUM(amortizations!T49,amortizations!T97,amortizations!T114,amortizations!T131))</f>
        <v>0</v>
      </c>
      <c r="V17" s="55">
        <f>IF(SUM(amortizations!U49,amortizations!U97,amortizations!U114,amortizations!U131)=0, 0, SUM(amortizations!U49,amortizations!U97,amortizations!U114,amortizations!U131))</f>
        <v>0</v>
      </c>
      <c r="W17" s="55">
        <f>IF(SUM(amortizations!V49,amortizations!V97,amortizations!V114,amortizations!V131)=0, 0, SUM(amortizations!V49,amortizations!V97,amortizations!V114,amortizations!V131))</f>
        <v>0</v>
      </c>
      <c r="X17" s="55">
        <f>IF(SUM(amortizations!W49,amortizations!W97,amortizations!W114,amortizations!W131)=0, 0, SUM(amortizations!W49,amortizations!W97,amortizations!W114,amortizations!W131))</f>
        <v>0</v>
      </c>
      <c r="Y17" s="55">
        <f>IF(SUM(amortizations!X49,amortizations!X97,amortizations!X114,amortizations!X131)=0, 0, SUM(amortizations!X49,amortizations!X97,amortizations!X114,amortizations!X131))</f>
        <v>0</v>
      </c>
      <c r="Z17" s="55">
        <f>IF(SUM(amortizations!Y49,amortizations!Y97,amortizations!Y114,amortizations!Y131)=0, 0, SUM(amortizations!Y49,amortizations!Y97,amortizations!Y114,amortizations!Y131))</f>
        <v>0</v>
      </c>
      <c r="AA17" s="55">
        <f>IF(SUM(amortizations!Z49,amortizations!Z97,amortizations!Z114,amortizations!Z131)=0, 0, SUM(amortizations!Z49,amortizations!Z97,amortizations!Z114,amortizations!Z131))</f>
        <v>0</v>
      </c>
      <c r="AB17" s="55">
        <f>IF(SUM(amortizations!AA49,amortizations!AA97,amortizations!AA114,amortizations!AA131)=0, 0, SUM(amortizations!AA49,amortizations!AA97,amortizations!AA114,amortizations!AA131))</f>
        <v>0</v>
      </c>
      <c r="AC17" s="55">
        <f>IF(SUM(amortizations!AB49,amortizations!AB97,amortizations!AB114,amortizations!AB131)=0, 0, SUM(amortizations!AB49,amortizations!AB97,amortizations!AB114,amortizations!AB131))</f>
        <v>0</v>
      </c>
      <c r="AD17" s="55">
        <f>IF(SUM(amortizations!AC49,amortizations!AC97,amortizations!AC114,amortizations!AC131)=0, 0, SUM(amortizations!AC49,amortizations!AC97,amortizations!AC114,amortizations!AC131))</f>
        <v>0</v>
      </c>
      <c r="AE17" s="55">
        <f>IF(SUM(amortizations!AD49,amortizations!AD97,amortizations!AD114,amortizations!AD131)=0, 0, SUM(amortizations!AD49,amortizations!AD97,amortizations!AD114,amortizations!AD131))</f>
        <v>0</v>
      </c>
      <c r="AF17" s="55">
        <f>IF(SUM(amortizations!AE49,amortizations!AE97,amortizations!AE114,amortizations!AE131)=0, 0, SUM(amortizations!AE49,amortizations!AE97,amortizations!AE114,amortizations!AE131))</f>
        <v>0</v>
      </c>
    </row>
    <row r="18" spans="1:32">
      <c r="A18" s="669" t="s">
        <v>635</v>
      </c>
      <c r="C18" s="121">
        <f>C14-C16-C17</f>
        <v>0</v>
      </c>
      <c r="D18" s="121">
        <f t="shared" ref="D18:AF18" si="11">D14-D16-D17</f>
        <v>0</v>
      </c>
      <c r="E18" s="121">
        <f t="shared" si="11"/>
        <v>0</v>
      </c>
      <c r="F18" s="121">
        <f t="shared" si="11"/>
        <v>0</v>
      </c>
      <c r="G18" s="121">
        <f t="shared" si="11"/>
        <v>0</v>
      </c>
      <c r="H18" s="121">
        <f t="shared" si="11"/>
        <v>0</v>
      </c>
      <c r="I18" s="121">
        <f t="shared" si="11"/>
        <v>0</v>
      </c>
      <c r="J18" s="121">
        <f t="shared" si="11"/>
        <v>0</v>
      </c>
      <c r="K18" s="121">
        <f t="shared" si="11"/>
        <v>0</v>
      </c>
      <c r="L18" s="121">
        <f t="shared" si="11"/>
        <v>0</v>
      </c>
      <c r="M18" s="121">
        <f t="shared" si="11"/>
        <v>0</v>
      </c>
      <c r="N18" s="121">
        <f t="shared" si="11"/>
        <v>0</v>
      </c>
      <c r="O18" s="121">
        <f t="shared" si="11"/>
        <v>0</v>
      </c>
      <c r="P18" s="121">
        <f t="shared" si="11"/>
        <v>0</v>
      </c>
      <c r="Q18" s="121">
        <f t="shared" si="11"/>
        <v>0</v>
      </c>
      <c r="R18" s="121">
        <f t="shared" si="11"/>
        <v>0</v>
      </c>
      <c r="S18" s="121">
        <f t="shared" si="11"/>
        <v>0</v>
      </c>
      <c r="T18" s="121">
        <f t="shared" si="11"/>
        <v>0</v>
      </c>
      <c r="U18" s="121">
        <f t="shared" si="11"/>
        <v>0</v>
      </c>
      <c r="V18" s="121">
        <f t="shared" si="11"/>
        <v>0</v>
      </c>
      <c r="W18" s="121">
        <f t="shared" si="11"/>
        <v>0</v>
      </c>
      <c r="X18" s="121">
        <f t="shared" si="11"/>
        <v>0</v>
      </c>
      <c r="Y18" s="121">
        <f t="shared" si="11"/>
        <v>0</v>
      </c>
      <c r="Z18" s="121">
        <f t="shared" si="11"/>
        <v>0</v>
      </c>
      <c r="AA18" s="121">
        <f t="shared" si="11"/>
        <v>0</v>
      </c>
      <c r="AB18" s="121">
        <f t="shared" si="11"/>
        <v>0</v>
      </c>
      <c r="AC18" s="121">
        <f t="shared" si="11"/>
        <v>0</v>
      </c>
      <c r="AD18" s="121">
        <f t="shared" si="11"/>
        <v>0</v>
      </c>
      <c r="AE18" s="121">
        <f t="shared" si="11"/>
        <v>0</v>
      </c>
      <c r="AF18" s="121">
        <f t="shared" si="11"/>
        <v>0</v>
      </c>
    </row>
    <row r="19" spans="1:32">
      <c r="A19" s="669" t="s">
        <v>636</v>
      </c>
      <c r="C19" s="97">
        <f>IF(C18&lt;0,-C18,0)</f>
        <v>0</v>
      </c>
      <c r="D19" s="97">
        <f t="shared" ref="D19:R19" si="12">IF(D18&lt;0,-D18,0)</f>
        <v>0</v>
      </c>
      <c r="E19" s="97">
        <f t="shared" si="12"/>
        <v>0</v>
      </c>
      <c r="F19" s="97">
        <f t="shared" si="12"/>
        <v>0</v>
      </c>
      <c r="G19" s="97">
        <f t="shared" si="12"/>
        <v>0</v>
      </c>
      <c r="H19" s="97">
        <f t="shared" si="12"/>
        <v>0</v>
      </c>
      <c r="I19" s="97">
        <f t="shared" si="12"/>
        <v>0</v>
      </c>
      <c r="J19" s="97">
        <f t="shared" si="12"/>
        <v>0</v>
      </c>
      <c r="K19" s="97">
        <f t="shared" si="12"/>
        <v>0</v>
      </c>
      <c r="L19" s="97">
        <f t="shared" si="12"/>
        <v>0</v>
      </c>
      <c r="M19" s="97">
        <f t="shared" si="12"/>
        <v>0</v>
      </c>
      <c r="N19" s="97">
        <f t="shared" si="12"/>
        <v>0</v>
      </c>
      <c r="O19" s="97">
        <f t="shared" si="12"/>
        <v>0</v>
      </c>
      <c r="P19" s="97">
        <f t="shared" si="12"/>
        <v>0</v>
      </c>
      <c r="Q19" s="97">
        <f t="shared" si="12"/>
        <v>0</v>
      </c>
      <c r="R19" s="97">
        <f t="shared" si="12"/>
        <v>0</v>
      </c>
      <c r="S19" s="97">
        <f t="shared" ref="S19:AF19" si="13">IF(S18&lt;0,-S18,0)</f>
        <v>0</v>
      </c>
      <c r="T19" s="97">
        <f t="shared" si="13"/>
        <v>0</v>
      </c>
      <c r="U19" s="97">
        <f t="shared" si="13"/>
        <v>0</v>
      </c>
      <c r="V19" s="97">
        <f t="shared" si="13"/>
        <v>0</v>
      </c>
      <c r="W19" s="97">
        <f t="shared" si="13"/>
        <v>0</v>
      </c>
      <c r="X19" s="97">
        <f t="shared" si="13"/>
        <v>0</v>
      </c>
      <c r="Y19" s="97">
        <f t="shared" si="13"/>
        <v>0</v>
      </c>
      <c r="Z19" s="97">
        <f t="shared" si="13"/>
        <v>0</v>
      </c>
      <c r="AA19" s="97">
        <f t="shared" si="13"/>
        <v>0</v>
      </c>
      <c r="AB19" s="97">
        <f t="shared" si="13"/>
        <v>0</v>
      </c>
      <c r="AC19" s="97">
        <f t="shared" si="13"/>
        <v>0</v>
      </c>
      <c r="AD19" s="97">
        <f t="shared" si="13"/>
        <v>0</v>
      </c>
      <c r="AE19" s="97">
        <f t="shared" si="13"/>
        <v>0</v>
      </c>
      <c r="AF19" s="97">
        <f t="shared" si="13"/>
        <v>0</v>
      </c>
    </row>
    <row r="20" spans="1:32">
      <c r="A20" s="669" t="s">
        <v>637</v>
      </c>
      <c r="C20" s="121">
        <f>C18+C19</f>
        <v>0</v>
      </c>
      <c r="D20" s="121">
        <f t="shared" ref="D20:R20" si="14">D18+D19</f>
        <v>0</v>
      </c>
      <c r="E20" s="121">
        <f t="shared" si="14"/>
        <v>0</v>
      </c>
      <c r="F20" s="121">
        <f t="shared" si="14"/>
        <v>0</v>
      </c>
      <c r="G20" s="121">
        <f t="shared" si="14"/>
        <v>0</v>
      </c>
      <c r="H20" s="121">
        <f t="shared" si="14"/>
        <v>0</v>
      </c>
      <c r="I20" s="121">
        <f t="shared" si="14"/>
        <v>0</v>
      </c>
      <c r="J20" s="121">
        <f t="shared" si="14"/>
        <v>0</v>
      </c>
      <c r="K20" s="121">
        <f t="shared" si="14"/>
        <v>0</v>
      </c>
      <c r="L20" s="121">
        <f t="shared" si="14"/>
        <v>0</v>
      </c>
      <c r="M20" s="121">
        <f t="shared" si="14"/>
        <v>0</v>
      </c>
      <c r="N20" s="121">
        <f t="shared" si="14"/>
        <v>0</v>
      </c>
      <c r="O20" s="121">
        <f t="shared" si="14"/>
        <v>0</v>
      </c>
      <c r="P20" s="121">
        <f t="shared" si="14"/>
        <v>0</v>
      </c>
      <c r="Q20" s="121">
        <f t="shared" si="14"/>
        <v>0</v>
      </c>
      <c r="R20" s="121">
        <f t="shared" si="14"/>
        <v>0</v>
      </c>
      <c r="S20" s="121">
        <f t="shared" ref="S20:AF20" si="15">S18+S19</f>
        <v>0</v>
      </c>
      <c r="T20" s="121">
        <f t="shared" si="15"/>
        <v>0</v>
      </c>
      <c r="U20" s="121">
        <f t="shared" si="15"/>
        <v>0</v>
      </c>
      <c r="V20" s="121">
        <f t="shared" si="15"/>
        <v>0</v>
      </c>
      <c r="W20" s="121">
        <f t="shared" si="15"/>
        <v>0</v>
      </c>
      <c r="X20" s="121">
        <f t="shared" si="15"/>
        <v>0</v>
      </c>
      <c r="Y20" s="121">
        <f t="shared" si="15"/>
        <v>0</v>
      </c>
      <c r="Z20" s="121">
        <f t="shared" si="15"/>
        <v>0</v>
      </c>
      <c r="AA20" s="121">
        <f t="shared" si="15"/>
        <v>0</v>
      </c>
      <c r="AB20" s="121">
        <f t="shared" si="15"/>
        <v>0</v>
      </c>
      <c r="AC20" s="121">
        <f t="shared" si="15"/>
        <v>0</v>
      </c>
      <c r="AD20" s="121">
        <f t="shared" si="15"/>
        <v>0</v>
      </c>
      <c r="AE20" s="121">
        <f t="shared" si="15"/>
        <v>0</v>
      </c>
      <c r="AF20" s="121">
        <f t="shared" si="15"/>
        <v>0</v>
      </c>
    </row>
    <row r="22" spans="1:32" ht="14.4">
      <c r="A22" s="767" t="s">
        <v>638</v>
      </c>
      <c r="C22" s="768" t="str">
        <f>IF(ISERR(C14/(C16+C17)),"N/A",C14/(C16+C17))</f>
        <v>N/A</v>
      </c>
      <c r="D22" s="768" t="str">
        <f t="shared" ref="D22:AF22" si="16">IF(ISERR(D14/(D16+D17)),"N/A",D14/(D16+D17))</f>
        <v>N/A</v>
      </c>
      <c r="E22" s="768" t="str">
        <f t="shared" si="16"/>
        <v>N/A</v>
      </c>
      <c r="F22" s="768" t="str">
        <f t="shared" si="16"/>
        <v>N/A</v>
      </c>
      <c r="G22" s="768" t="str">
        <f t="shared" si="16"/>
        <v>N/A</v>
      </c>
      <c r="H22" s="768" t="str">
        <f t="shared" si="16"/>
        <v>N/A</v>
      </c>
      <c r="I22" s="768" t="str">
        <f t="shared" si="16"/>
        <v>N/A</v>
      </c>
      <c r="J22" s="768" t="str">
        <f t="shared" si="16"/>
        <v>N/A</v>
      </c>
      <c r="K22" s="768" t="str">
        <f t="shared" si="16"/>
        <v>N/A</v>
      </c>
      <c r="L22" s="768" t="str">
        <f t="shared" si="16"/>
        <v>N/A</v>
      </c>
      <c r="M22" s="768" t="str">
        <f t="shared" si="16"/>
        <v>N/A</v>
      </c>
      <c r="N22" s="768" t="str">
        <f t="shared" si="16"/>
        <v>N/A</v>
      </c>
      <c r="O22" s="768" t="str">
        <f t="shared" si="16"/>
        <v>N/A</v>
      </c>
      <c r="P22" s="768" t="str">
        <f t="shared" si="16"/>
        <v>N/A</v>
      </c>
      <c r="Q22" s="768" t="str">
        <f t="shared" si="16"/>
        <v>N/A</v>
      </c>
      <c r="R22" s="768" t="str">
        <f t="shared" si="16"/>
        <v>N/A</v>
      </c>
      <c r="S22" s="768" t="str">
        <f t="shared" si="16"/>
        <v>N/A</v>
      </c>
      <c r="T22" s="768" t="str">
        <f t="shared" si="16"/>
        <v>N/A</v>
      </c>
      <c r="U22" s="768" t="str">
        <f t="shared" si="16"/>
        <v>N/A</v>
      </c>
      <c r="V22" s="768" t="str">
        <f t="shared" si="16"/>
        <v>N/A</v>
      </c>
      <c r="W22" s="768" t="str">
        <f t="shared" si="16"/>
        <v>N/A</v>
      </c>
      <c r="X22" s="768" t="str">
        <f t="shared" si="16"/>
        <v>N/A</v>
      </c>
      <c r="Y22" s="768" t="str">
        <f t="shared" si="16"/>
        <v>N/A</v>
      </c>
      <c r="Z22" s="768" t="str">
        <f t="shared" si="16"/>
        <v>N/A</v>
      </c>
      <c r="AA22" s="768" t="str">
        <f t="shared" si="16"/>
        <v>N/A</v>
      </c>
      <c r="AB22" s="768" t="str">
        <f t="shared" si="16"/>
        <v>N/A</v>
      </c>
      <c r="AC22" s="768" t="str">
        <f t="shared" si="16"/>
        <v>N/A</v>
      </c>
      <c r="AD22" s="768" t="str">
        <f t="shared" si="16"/>
        <v>N/A</v>
      </c>
      <c r="AE22" s="768" t="str">
        <f t="shared" si="16"/>
        <v>N/A</v>
      </c>
      <c r="AF22" s="768" t="str">
        <f t="shared" si="16"/>
        <v>N/A</v>
      </c>
    </row>
    <row r="23" spans="1:32" ht="14.4">
      <c r="A23" s="767" t="s">
        <v>639</v>
      </c>
      <c r="C23" s="40" t="str">
        <f>IF(C12=0,"TBD",C20/C12)</f>
        <v>TBD</v>
      </c>
      <c r="D23" s="40" t="str">
        <f t="shared" ref="D23:L23" si="17">IF(D12=0,"TBD",D20/D12)</f>
        <v>TBD</v>
      </c>
      <c r="E23" s="40" t="str">
        <f t="shared" si="17"/>
        <v>TBD</v>
      </c>
      <c r="F23" s="40" t="str">
        <f t="shared" si="17"/>
        <v>TBD</v>
      </c>
      <c r="G23" s="40" t="str">
        <f t="shared" si="17"/>
        <v>TBD</v>
      </c>
      <c r="H23" s="40" t="str">
        <f t="shared" si="17"/>
        <v>TBD</v>
      </c>
      <c r="I23" s="40" t="str">
        <f t="shared" si="17"/>
        <v>TBD</v>
      </c>
      <c r="J23" s="40" t="str">
        <f t="shared" si="17"/>
        <v>TBD</v>
      </c>
      <c r="K23" s="40" t="str">
        <f t="shared" si="17"/>
        <v>TBD</v>
      </c>
      <c r="L23" s="40" t="str">
        <f t="shared" si="17"/>
        <v>TBD</v>
      </c>
      <c r="O23" s="769"/>
      <c r="P23" s="769"/>
      <c r="Q23" s="769"/>
      <c r="R23" s="769"/>
      <c r="S23" s="769"/>
      <c r="T23" s="769"/>
      <c r="U23" s="769"/>
      <c r="V23" s="769"/>
      <c r="W23" s="769"/>
      <c r="X23" s="769"/>
      <c r="Y23" s="769"/>
      <c r="Z23" s="769"/>
      <c r="AA23" s="769"/>
      <c r="AB23" s="769"/>
      <c r="AC23" s="769"/>
      <c r="AD23" s="769"/>
      <c r="AE23" s="769"/>
      <c r="AF23" s="769"/>
    </row>
    <row r="24" spans="1:32" ht="14.4">
      <c r="A24" s="767" t="s">
        <v>640</v>
      </c>
      <c r="C24" s="40" t="str">
        <f>IF(C12=0,"TBD",C8/C12)</f>
        <v>TBD</v>
      </c>
      <c r="D24" s="40" t="str">
        <f t="shared" ref="D24:L24" si="18">IF(D12=0,"TBD",D8/D12)</f>
        <v>TBD</v>
      </c>
      <c r="E24" s="40" t="str">
        <f t="shared" si="18"/>
        <v>TBD</v>
      </c>
      <c r="F24" s="40" t="str">
        <f t="shared" si="18"/>
        <v>TBD</v>
      </c>
      <c r="G24" s="40" t="str">
        <f t="shared" si="18"/>
        <v>TBD</v>
      </c>
      <c r="H24" s="40" t="str">
        <f t="shared" si="18"/>
        <v>TBD</v>
      </c>
      <c r="I24" s="40" t="str">
        <f t="shared" si="18"/>
        <v>TBD</v>
      </c>
      <c r="J24" s="40" t="str">
        <f t="shared" si="18"/>
        <v>TBD</v>
      </c>
      <c r="K24" s="40" t="str">
        <f t="shared" si="18"/>
        <v>TBD</v>
      </c>
      <c r="L24" s="40" t="str">
        <f t="shared" si="18"/>
        <v>TBD</v>
      </c>
      <c r="O24" s="769"/>
      <c r="P24" s="769"/>
      <c r="Q24" s="769"/>
      <c r="R24" s="769"/>
      <c r="S24" s="769"/>
      <c r="T24" s="769"/>
      <c r="U24" s="769"/>
      <c r="V24" s="769"/>
      <c r="W24" s="769"/>
      <c r="X24" s="769"/>
      <c r="Y24" s="769"/>
      <c r="Z24" s="769"/>
      <c r="AA24" s="769"/>
      <c r="AB24" s="769"/>
      <c r="AC24" s="769"/>
      <c r="AD24" s="769"/>
      <c r="AE24" s="769"/>
      <c r="AF24" s="769"/>
    </row>
    <row r="25" spans="1:32">
      <c r="A25" s="590" t="s">
        <v>641</v>
      </c>
    </row>
    <row r="26" spans="1:32">
      <c r="A26" s="669" t="s">
        <v>642</v>
      </c>
      <c r="C26" s="97">
        <f>SUM('sources-uses'!C85:C87,'sources-uses'!C89,'sources-uses'!C90)</f>
        <v>0</v>
      </c>
      <c r="D26" s="97">
        <f>C35</f>
        <v>0</v>
      </c>
      <c r="E26" s="97">
        <f t="shared" ref="E26:AF26" si="19">D35</f>
        <v>0</v>
      </c>
      <c r="F26" s="97">
        <f t="shared" si="19"/>
        <v>0</v>
      </c>
      <c r="G26" s="97">
        <f t="shared" si="19"/>
        <v>0</v>
      </c>
      <c r="H26" s="97">
        <f t="shared" si="19"/>
        <v>0</v>
      </c>
      <c r="I26" s="97">
        <f t="shared" si="19"/>
        <v>0</v>
      </c>
      <c r="J26" s="97">
        <f t="shared" si="19"/>
        <v>0</v>
      </c>
      <c r="K26" s="97">
        <f t="shared" si="19"/>
        <v>0</v>
      </c>
      <c r="L26" s="97">
        <f t="shared" si="19"/>
        <v>0</v>
      </c>
      <c r="M26" s="97">
        <f t="shared" si="19"/>
        <v>0</v>
      </c>
      <c r="N26" s="97">
        <f t="shared" si="19"/>
        <v>0</v>
      </c>
      <c r="O26" s="97">
        <f t="shared" si="19"/>
        <v>0</v>
      </c>
      <c r="P26" s="97">
        <f t="shared" si="19"/>
        <v>0</v>
      </c>
      <c r="Q26" s="97">
        <f t="shared" si="19"/>
        <v>0</v>
      </c>
      <c r="R26" s="97">
        <f t="shared" si="19"/>
        <v>0</v>
      </c>
      <c r="S26" s="97">
        <f t="shared" si="19"/>
        <v>0</v>
      </c>
      <c r="T26" s="97">
        <f t="shared" si="19"/>
        <v>0</v>
      </c>
      <c r="U26" s="97">
        <f t="shared" si="19"/>
        <v>0</v>
      </c>
      <c r="V26" s="97">
        <f t="shared" si="19"/>
        <v>0</v>
      </c>
      <c r="W26" s="97">
        <f t="shared" si="19"/>
        <v>0</v>
      </c>
      <c r="X26" s="97">
        <f t="shared" si="19"/>
        <v>0</v>
      </c>
      <c r="Y26" s="97">
        <f t="shared" si="19"/>
        <v>0</v>
      </c>
      <c r="Z26" s="97">
        <f t="shared" si="19"/>
        <v>0</v>
      </c>
      <c r="AA26" s="97">
        <f t="shared" si="19"/>
        <v>0</v>
      </c>
      <c r="AB26" s="97">
        <f t="shared" si="19"/>
        <v>0</v>
      </c>
      <c r="AC26" s="97">
        <f t="shared" si="19"/>
        <v>0</v>
      </c>
      <c r="AD26" s="97">
        <f t="shared" si="19"/>
        <v>0</v>
      </c>
      <c r="AE26" s="97">
        <f t="shared" si="19"/>
        <v>0</v>
      </c>
      <c r="AF26" s="97">
        <f t="shared" si="19"/>
        <v>0</v>
      </c>
    </row>
    <row r="27" spans="1:32">
      <c r="A27" s="669" t="s">
        <v>643</v>
      </c>
      <c r="C27" s="97">
        <f>C20</f>
        <v>0</v>
      </c>
      <c r="D27" s="97">
        <f>D20</f>
        <v>0</v>
      </c>
      <c r="E27" s="97">
        <f t="shared" ref="E27:AF27" si="20">E20</f>
        <v>0</v>
      </c>
      <c r="F27" s="97">
        <f t="shared" si="20"/>
        <v>0</v>
      </c>
      <c r="G27" s="97">
        <f t="shared" si="20"/>
        <v>0</v>
      </c>
      <c r="H27" s="97">
        <f t="shared" si="20"/>
        <v>0</v>
      </c>
      <c r="I27" s="97">
        <f t="shared" si="20"/>
        <v>0</v>
      </c>
      <c r="J27" s="97">
        <f t="shared" si="20"/>
        <v>0</v>
      </c>
      <c r="K27" s="97">
        <f t="shared" si="20"/>
        <v>0</v>
      </c>
      <c r="L27" s="97">
        <f t="shared" si="20"/>
        <v>0</v>
      </c>
      <c r="M27" s="97">
        <f t="shared" si="20"/>
        <v>0</v>
      </c>
      <c r="N27" s="97">
        <f t="shared" si="20"/>
        <v>0</v>
      </c>
      <c r="O27" s="97">
        <f t="shared" si="20"/>
        <v>0</v>
      </c>
      <c r="P27" s="97">
        <f t="shared" si="20"/>
        <v>0</v>
      </c>
      <c r="Q27" s="97">
        <f t="shared" si="20"/>
        <v>0</v>
      </c>
      <c r="R27" s="97">
        <f t="shared" si="20"/>
        <v>0</v>
      </c>
      <c r="S27" s="97">
        <f t="shared" si="20"/>
        <v>0</v>
      </c>
      <c r="T27" s="97">
        <f t="shared" si="20"/>
        <v>0</v>
      </c>
      <c r="U27" s="97">
        <f t="shared" si="20"/>
        <v>0</v>
      </c>
      <c r="V27" s="97">
        <f t="shared" si="20"/>
        <v>0</v>
      </c>
      <c r="W27" s="97">
        <f t="shared" si="20"/>
        <v>0</v>
      </c>
      <c r="X27" s="97">
        <f t="shared" si="20"/>
        <v>0</v>
      </c>
      <c r="Y27" s="97">
        <f t="shared" si="20"/>
        <v>0</v>
      </c>
      <c r="Z27" s="97">
        <f t="shared" si="20"/>
        <v>0</v>
      </c>
      <c r="AA27" s="97">
        <f t="shared" si="20"/>
        <v>0</v>
      </c>
      <c r="AB27" s="97">
        <f t="shared" si="20"/>
        <v>0</v>
      </c>
      <c r="AC27" s="97">
        <f t="shared" si="20"/>
        <v>0</v>
      </c>
      <c r="AD27" s="97">
        <f t="shared" si="20"/>
        <v>0</v>
      </c>
      <c r="AE27" s="97">
        <f t="shared" si="20"/>
        <v>0</v>
      </c>
      <c r="AF27" s="97">
        <f t="shared" si="20"/>
        <v>0</v>
      </c>
    </row>
    <row r="28" spans="1:32">
      <c r="A28" s="669" t="s">
        <v>521</v>
      </c>
      <c r="B28" s="587">
        <v>0.02</v>
      </c>
      <c r="C28" s="97">
        <f>($B$28*C26)+IF(C27&gt;0,0.5*C27*$B$28,0)</f>
        <v>0</v>
      </c>
      <c r="D28" s="97">
        <f>($B$28*D26)+IF(D27&gt;0,0.5*D27*$B$28,0)</f>
        <v>0</v>
      </c>
      <c r="E28" s="97">
        <f t="shared" ref="E28:AF28" si="21">($B$28*E26)+IF(E27&gt;0,0.5*E27*$B$28,0)</f>
        <v>0</v>
      </c>
      <c r="F28" s="97">
        <f t="shared" si="21"/>
        <v>0</v>
      </c>
      <c r="G28" s="97">
        <f t="shared" si="21"/>
        <v>0</v>
      </c>
      <c r="H28" s="97">
        <f t="shared" si="21"/>
        <v>0</v>
      </c>
      <c r="I28" s="97">
        <f t="shared" si="21"/>
        <v>0</v>
      </c>
      <c r="J28" s="97">
        <f t="shared" si="21"/>
        <v>0</v>
      </c>
      <c r="K28" s="97">
        <f t="shared" si="21"/>
        <v>0</v>
      </c>
      <c r="L28" s="97">
        <f t="shared" si="21"/>
        <v>0</v>
      </c>
      <c r="M28" s="97">
        <f t="shared" si="21"/>
        <v>0</v>
      </c>
      <c r="N28" s="97">
        <f t="shared" si="21"/>
        <v>0</v>
      </c>
      <c r="O28" s="97">
        <f t="shared" si="21"/>
        <v>0</v>
      </c>
      <c r="P28" s="97">
        <f t="shared" si="21"/>
        <v>0</v>
      </c>
      <c r="Q28" s="97">
        <f t="shared" si="21"/>
        <v>0</v>
      </c>
      <c r="R28" s="97">
        <f t="shared" si="21"/>
        <v>0</v>
      </c>
      <c r="S28" s="97">
        <f t="shared" si="21"/>
        <v>0</v>
      </c>
      <c r="T28" s="97">
        <f t="shared" si="21"/>
        <v>0</v>
      </c>
      <c r="U28" s="97">
        <f t="shared" si="21"/>
        <v>0</v>
      </c>
      <c r="V28" s="97">
        <f t="shared" si="21"/>
        <v>0</v>
      </c>
      <c r="W28" s="97">
        <f t="shared" si="21"/>
        <v>0</v>
      </c>
      <c r="X28" s="97">
        <f t="shared" si="21"/>
        <v>0</v>
      </c>
      <c r="Y28" s="97">
        <f t="shared" si="21"/>
        <v>0</v>
      </c>
      <c r="Z28" s="97">
        <f t="shared" si="21"/>
        <v>0</v>
      </c>
      <c r="AA28" s="97">
        <f t="shared" si="21"/>
        <v>0</v>
      </c>
      <c r="AB28" s="97">
        <f t="shared" si="21"/>
        <v>0</v>
      </c>
      <c r="AC28" s="97">
        <f t="shared" si="21"/>
        <v>0</v>
      </c>
      <c r="AD28" s="97">
        <f t="shared" si="21"/>
        <v>0</v>
      </c>
      <c r="AE28" s="97">
        <f t="shared" si="21"/>
        <v>0</v>
      </c>
      <c r="AF28" s="97">
        <f t="shared" si="21"/>
        <v>0</v>
      </c>
    </row>
    <row r="29" spans="1:32">
      <c r="A29" s="590" t="s">
        <v>644</v>
      </c>
      <c r="B29" s="770"/>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row>
    <row r="30" spans="1:32">
      <c r="A30" s="669" t="s">
        <v>645</v>
      </c>
      <c r="C30" s="97">
        <f>-C19</f>
        <v>0</v>
      </c>
      <c r="D30" s="97">
        <f t="shared" ref="D30:R30" si="22">-D19</f>
        <v>0</v>
      </c>
      <c r="E30" s="97">
        <f t="shared" si="22"/>
        <v>0</v>
      </c>
      <c r="F30" s="97">
        <f t="shared" si="22"/>
        <v>0</v>
      </c>
      <c r="G30" s="97">
        <f t="shared" si="22"/>
        <v>0</v>
      </c>
      <c r="H30" s="97">
        <f t="shared" si="22"/>
        <v>0</v>
      </c>
      <c r="I30" s="97">
        <f t="shared" si="22"/>
        <v>0</v>
      </c>
      <c r="J30" s="97">
        <f t="shared" si="22"/>
        <v>0</v>
      </c>
      <c r="K30" s="97">
        <f t="shared" si="22"/>
        <v>0</v>
      </c>
      <c r="L30" s="97">
        <f t="shared" si="22"/>
        <v>0</v>
      </c>
      <c r="M30" s="97">
        <f t="shared" si="22"/>
        <v>0</v>
      </c>
      <c r="N30" s="97">
        <f t="shared" si="22"/>
        <v>0</v>
      </c>
      <c r="O30" s="97">
        <f t="shared" si="22"/>
        <v>0</v>
      </c>
      <c r="P30" s="97">
        <f t="shared" si="22"/>
        <v>0</v>
      </c>
      <c r="Q30" s="97">
        <f t="shared" si="22"/>
        <v>0</v>
      </c>
      <c r="R30" s="97">
        <f t="shared" si="22"/>
        <v>0</v>
      </c>
      <c r="S30" s="97">
        <f t="shared" ref="S30:AF30" si="23">-S19</f>
        <v>0</v>
      </c>
      <c r="T30" s="97">
        <f t="shared" si="23"/>
        <v>0</v>
      </c>
      <c r="U30" s="97">
        <f t="shared" si="23"/>
        <v>0</v>
      </c>
      <c r="V30" s="97">
        <f t="shared" si="23"/>
        <v>0</v>
      </c>
      <c r="W30" s="97">
        <f t="shared" si="23"/>
        <v>0</v>
      </c>
      <c r="X30" s="97">
        <f t="shared" si="23"/>
        <v>0</v>
      </c>
      <c r="Y30" s="97">
        <f t="shared" si="23"/>
        <v>0</v>
      </c>
      <c r="Z30" s="97">
        <f t="shared" si="23"/>
        <v>0</v>
      </c>
      <c r="AA30" s="97">
        <f t="shared" si="23"/>
        <v>0</v>
      </c>
      <c r="AB30" s="97">
        <f t="shared" si="23"/>
        <v>0</v>
      </c>
      <c r="AC30" s="97">
        <f t="shared" si="23"/>
        <v>0</v>
      </c>
      <c r="AD30" s="97">
        <f t="shared" si="23"/>
        <v>0</v>
      </c>
      <c r="AE30" s="97">
        <f t="shared" si="23"/>
        <v>0</v>
      </c>
      <c r="AF30" s="97">
        <f t="shared" si="23"/>
        <v>0</v>
      </c>
    </row>
    <row r="31" spans="1:32">
      <c r="A31" s="591" t="s">
        <v>646</v>
      </c>
      <c r="C31" s="55">
        <v>0</v>
      </c>
      <c r="D31" s="55">
        <v>0</v>
      </c>
      <c r="E31" s="55">
        <v>0</v>
      </c>
      <c r="F31" s="55">
        <v>0</v>
      </c>
      <c r="G31" s="55">
        <v>0</v>
      </c>
      <c r="H31" s="55">
        <v>0</v>
      </c>
      <c r="I31" s="55">
        <v>0</v>
      </c>
      <c r="J31" s="55">
        <v>0</v>
      </c>
      <c r="K31" s="55">
        <v>0</v>
      </c>
      <c r="L31" s="55">
        <v>0</v>
      </c>
      <c r="M31" s="55">
        <v>0</v>
      </c>
      <c r="N31" s="55">
        <v>0</v>
      </c>
      <c r="O31" s="55">
        <v>0</v>
      </c>
      <c r="P31" s="55">
        <v>0</v>
      </c>
      <c r="Q31" s="55">
        <v>0</v>
      </c>
      <c r="R31" s="55">
        <v>0</v>
      </c>
      <c r="S31" s="55">
        <v>0</v>
      </c>
      <c r="T31" s="55">
        <v>0</v>
      </c>
      <c r="U31" s="55">
        <v>0</v>
      </c>
      <c r="V31" s="55">
        <v>0</v>
      </c>
      <c r="W31" s="55">
        <v>0</v>
      </c>
      <c r="X31" s="55">
        <v>0</v>
      </c>
      <c r="Y31" s="55">
        <v>0</v>
      </c>
      <c r="Z31" s="55">
        <v>0</v>
      </c>
      <c r="AA31" s="55">
        <v>0</v>
      </c>
      <c r="AB31" s="55">
        <v>0</v>
      </c>
      <c r="AC31" s="55">
        <v>0</v>
      </c>
      <c r="AD31" s="55">
        <v>0</v>
      </c>
      <c r="AE31" s="55">
        <v>0</v>
      </c>
      <c r="AF31" s="55">
        <v>0</v>
      </c>
    </row>
    <row r="32" spans="1:32">
      <c r="A32" s="591" t="s">
        <v>647</v>
      </c>
      <c r="C32" s="55">
        <v>0</v>
      </c>
      <c r="D32" s="55">
        <v>0</v>
      </c>
      <c r="E32" s="55">
        <v>0</v>
      </c>
      <c r="F32" s="55">
        <v>0</v>
      </c>
      <c r="G32" s="55">
        <v>0</v>
      </c>
      <c r="H32" s="55">
        <v>0</v>
      </c>
      <c r="I32" s="55">
        <v>0</v>
      </c>
      <c r="J32" s="55">
        <v>0</v>
      </c>
      <c r="K32" s="55">
        <v>0</v>
      </c>
      <c r="L32" s="55">
        <v>0</v>
      </c>
      <c r="M32" s="312" t="s">
        <v>829</v>
      </c>
      <c r="N32" s="313"/>
      <c r="O32" s="313"/>
      <c r="P32" s="313"/>
      <c r="Q32" s="313"/>
      <c r="R32" s="313"/>
      <c r="S32" s="313"/>
      <c r="T32" s="313"/>
      <c r="U32" s="313"/>
      <c r="V32" s="313"/>
      <c r="W32" s="313"/>
      <c r="X32" s="313"/>
      <c r="Y32" s="313"/>
      <c r="Z32" s="313"/>
      <c r="AA32" s="313"/>
      <c r="AB32" s="313"/>
      <c r="AC32" s="313"/>
      <c r="AD32" s="313"/>
      <c r="AE32" s="313"/>
      <c r="AF32" s="313"/>
    </row>
    <row r="33" spans="1:32">
      <c r="A33" s="591" t="s">
        <v>648</v>
      </c>
      <c r="C33" s="55">
        <v>0</v>
      </c>
      <c r="D33" s="55">
        <v>0</v>
      </c>
      <c r="E33" s="55">
        <v>0</v>
      </c>
      <c r="F33" s="55">
        <v>0</v>
      </c>
      <c r="G33" s="55">
        <v>0</v>
      </c>
      <c r="H33" s="55">
        <v>0</v>
      </c>
      <c r="I33" s="55">
        <v>0</v>
      </c>
      <c r="J33" s="55">
        <v>0</v>
      </c>
      <c r="K33" s="55">
        <v>0</v>
      </c>
      <c r="L33" s="55">
        <v>0</v>
      </c>
      <c r="M33" s="55">
        <v>0</v>
      </c>
      <c r="N33" s="55">
        <v>0</v>
      </c>
      <c r="O33" s="55">
        <v>0</v>
      </c>
      <c r="P33" s="55">
        <v>0</v>
      </c>
      <c r="Q33" s="55">
        <v>0</v>
      </c>
      <c r="R33" s="55">
        <v>0</v>
      </c>
      <c r="S33" s="55">
        <v>0</v>
      </c>
      <c r="T33" s="55">
        <v>0</v>
      </c>
      <c r="U33" s="55">
        <v>0</v>
      </c>
      <c r="V33" s="55">
        <v>0</v>
      </c>
      <c r="W33" s="55">
        <v>0</v>
      </c>
      <c r="X33" s="55">
        <v>0</v>
      </c>
      <c r="Y33" s="55">
        <v>0</v>
      </c>
      <c r="Z33" s="55">
        <v>0</v>
      </c>
      <c r="AA33" s="55">
        <v>0</v>
      </c>
      <c r="AB33" s="55">
        <v>0</v>
      </c>
      <c r="AC33" s="55">
        <v>0</v>
      </c>
      <c r="AD33" s="55">
        <v>0</v>
      </c>
      <c r="AE33" s="55">
        <v>0</v>
      </c>
      <c r="AF33" s="55">
        <v>0</v>
      </c>
    </row>
    <row r="34" spans="1:32">
      <c r="A34" s="771" t="s">
        <v>649</v>
      </c>
      <c r="C34" s="55">
        <v>0</v>
      </c>
      <c r="D34" s="55">
        <v>0</v>
      </c>
      <c r="E34" s="55">
        <v>0</v>
      </c>
      <c r="F34" s="55">
        <v>0</v>
      </c>
      <c r="G34" s="55">
        <v>0</v>
      </c>
      <c r="H34" s="55">
        <v>0</v>
      </c>
      <c r="I34" s="55">
        <v>0</v>
      </c>
      <c r="J34" s="55">
        <v>0</v>
      </c>
      <c r="K34" s="55">
        <v>0</v>
      </c>
      <c r="L34" s="55">
        <v>0</v>
      </c>
      <c r="M34" s="55">
        <v>0</v>
      </c>
      <c r="N34" s="55">
        <v>0</v>
      </c>
      <c r="O34" s="55">
        <v>0</v>
      </c>
      <c r="P34" s="55">
        <v>0</v>
      </c>
      <c r="Q34" s="55">
        <v>0</v>
      </c>
      <c r="R34" s="55">
        <v>0</v>
      </c>
      <c r="S34" s="55">
        <v>0</v>
      </c>
      <c r="T34" s="55">
        <v>0</v>
      </c>
      <c r="U34" s="55">
        <v>0</v>
      </c>
      <c r="V34" s="55">
        <v>0</v>
      </c>
      <c r="W34" s="55">
        <v>0</v>
      </c>
      <c r="X34" s="55">
        <v>0</v>
      </c>
      <c r="Y34" s="55">
        <v>0</v>
      </c>
      <c r="Z34" s="55">
        <v>0</v>
      </c>
      <c r="AA34" s="55">
        <v>0</v>
      </c>
      <c r="AB34" s="55">
        <v>0</v>
      </c>
      <c r="AC34" s="55">
        <v>0</v>
      </c>
      <c r="AD34" s="55">
        <v>0</v>
      </c>
      <c r="AE34" s="55">
        <v>0</v>
      </c>
      <c r="AF34" s="55">
        <v>0</v>
      </c>
    </row>
    <row r="35" spans="1:32">
      <c r="A35" s="669" t="s">
        <v>650</v>
      </c>
      <c r="C35" s="97">
        <f>SUM(C26:C34)</f>
        <v>0</v>
      </c>
      <c r="D35" s="97">
        <f>SUM(D26:D34)</f>
        <v>0</v>
      </c>
      <c r="E35" s="97">
        <f t="shared" ref="E35:AF35" si="24">SUM(E26:E34)</f>
        <v>0</v>
      </c>
      <c r="F35" s="97">
        <f t="shared" si="24"/>
        <v>0</v>
      </c>
      <c r="G35" s="97">
        <f t="shared" si="24"/>
        <v>0</v>
      </c>
      <c r="H35" s="97">
        <f t="shared" si="24"/>
        <v>0</v>
      </c>
      <c r="I35" s="97">
        <f t="shared" si="24"/>
        <v>0</v>
      </c>
      <c r="J35" s="97">
        <f t="shared" si="24"/>
        <v>0</v>
      </c>
      <c r="K35" s="97">
        <f t="shared" si="24"/>
        <v>0</v>
      </c>
      <c r="L35" s="97">
        <f t="shared" si="24"/>
        <v>0</v>
      </c>
      <c r="M35" s="97">
        <f t="shared" si="24"/>
        <v>0</v>
      </c>
      <c r="N35" s="97">
        <f t="shared" si="24"/>
        <v>0</v>
      </c>
      <c r="O35" s="97">
        <f t="shared" si="24"/>
        <v>0</v>
      </c>
      <c r="P35" s="97">
        <f t="shared" si="24"/>
        <v>0</v>
      </c>
      <c r="Q35" s="97">
        <f t="shared" si="24"/>
        <v>0</v>
      </c>
      <c r="R35" s="97">
        <f t="shared" si="24"/>
        <v>0</v>
      </c>
      <c r="S35" s="97">
        <f t="shared" si="24"/>
        <v>0</v>
      </c>
      <c r="T35" s="97">
        <f t="shared" si="24"/>
        <v>0</v>
      </c>
      <c r="U35" s="97">
        <f t="shared" si="24"/>
        <v>0</v>
      </c>
      <c r="V35" s="97">
        <f t="shared" si="24"/>
        <v>0</v>
      </c>
      <c r="W35" s="97">
        <f t="shared" si="24"/>
        <v>0</v>
      </c>
      <c r="X35" s="97">
        <f t="shared" si="24"/>
        <v>0</v>
      </c>
      <c r="Y35" s="97">
        <f t="shared" si="24"/>
        <v>0</v>
      </c>
      <c r="Z35" s="97">
        <f t="shared" si="24"/>
        <v>0</v>
      </c>
      <c r="AA35" s="97">
        <f t="shared" si="24"/>
        <v>0</v>
      </c>
      <c r="AB35" s="97">
        <f t="shared" si="24"/>
        <v>0</v>
      </c>
      <c r="AC35" s="97">
        <f t="shared" si="24"/>
        <v>0</v>
      </c>
      <c r="AD35" s="97">
        <f t="shared" si="24"/>
        <v>0</v>
      </c>
      <c r="AE35" s="97">
        <f t="shared" si="24"/>
        <v>0</v>
      </c>
      <c r="AF35" s="97">
        <f t="shared" si="24"/>
        <v>0</v>
      </c>
    </row>
    <row r="37" spans="1:32">
      <c r="A37" s="584" t="s">
        <v>651</v>
      </c>
      <c r="C37" s="663">
        <f t="shared" ref="C37:V37" si="25">C2</f>
        <v>1</v>
      </c>
      <c r="D37" s="663">
        <f t="shared" si="25"/>
        <v>2</v>
      </c>
      <c r="E37" s="663">
        <f t="shared" si="25"/>
        <v>3</v>
      </c>
      <c r="F37" s="663">
        <f t="shared" si="25"/>
        <v>4</v>
      </c>
      <c r="G37" s="663">
        <f t="shared" si="25"/>
        <v>5</v>
      </c>
      <c r="H37" s="663">
        <f t="shared" si="25"/>
        <v>6</v>
      </c>
      <c r="I37" s="663">
        <f t="shared" si="25"/>
        <v>7</v>
      </c>
      <c r="J37" s="663">
        <f t="shared" si="25"/>
        <v>8</v>
      </c>
      <c r="K37" s="663">
        <f t="shared" si="25"/>
        <v>9</v>
      </c>
      <c r="L37" s="663">
        <f t="shared" si="25"/>
        <v>10</v>
      </c>
      <c r="M37" s="663">
        <f t="shared" si="25"/>
        <v>11</v>
      </c>
      <c r="N37" s="663">
        <f t="shared" si="25"/>
        <v>12</v>
      </c>
      <c r="O37" s="663">
        <f t="shared" si="25"/>
        <v>13</v>
      </c>
      <c r="P37" s="663">
        <f t="shared" si="25"/>
        <v>14</v>
      </c>
      <c r="Q37" s="663">
        <f t="shared" si="25"/>
        <v>15</v>
      </c>
      <c r="R37" s="663">
        <f t="shared" si="25"/>
        <v>16</v>
      </c>
      <c r="S37" s="663">
        <f t="shared" si="25"/>
        <v>17</v>
      </c>
      <c r="T37" s="663">
        <f t="shared" si="25"/>
        <v>18</v>
      </c>
      <c r="U37" s="663">
        <f t="shared" si="25"/>
        <v>19</v>
      </c>
      <c r="V37" s="663">
        <f t="shared" si="25"/>
        <v>20</v>
      </c>
      <c r="W37" s="663"/>
      <c r="X37" s="663"/>
      <c r="Y37" s="663"/>
      <c r="Z37" s="663"/>
      <c r="AA37" s="663"/>
      <c r="AB37" s="663"/>
      <c r="AC37" s="663"/>
      <c r="AD37" s="663"/>
      <c r="AE37" s="663"/>
      <c r="AF37" s="663"/>
    </row>
    <row r="38" spans="1:32">
      <c r="A38" s="669" t="s">
        <v>642</v>
      </c>
      <c r="C38" s="97">
        <f>'sources-uses'!C88</f>
        <v>0</v>
      </c>
      <c r="D38" s="97">
        <f>C42</f>
        <v>0</v>
      </c>
      <c r="E38" s="97">
        <f t="shared" ref="E38:V38" si="26">D42</f>
        <v>0</v>
      </c>
      <c r="F38" s="97">
        <f t="shared" si="26"/>
        <v>0</v>
      </c>
      <c r="G38" s="97">
        <f t="shared" si="26"/>
        <v>0</v>
      </c>
      <c r="H38" s="97">
        <f t="shared" si="26"/>
        <v>0</v>
      </c>
      <c r="I38" s="97">
        <f t="shared" si="26"/>
        <v>0</v>
      </c>
      <c r="J38" s="97">
        <f t="shared" si="26"/>
        <v>0</v>
      </c>
      <c r="K38" s="97">
        <f t="shared" si="26"/>
        <v>0</v>
      </c>
      <c r="L38" s="97">
        <f t="shared" si="26"/>
        <v>0</v>
      </c>
      <c r="M38" s="97">
        <f t="shared" si="26"/>
        <v>0</v>
      </c>
      <c r="N38" s="97">
        <f t="shared" si="26"/>
        <v>0</v>
      </c>
      <c r="O38" s="97">
        <f t="shared" si="26"/>
        <v>0</v>
      </c>
      <c r="P38" s="97">
        <f t="shared" si="26"/>
        <v>0</v>
      </c>
      <c r="Q38" s="97">
        <f t="shared" si="26"/>
        <v>0</v>
      </c>
      <c r="R38" s="97">
        <f t="shared" si="26"/>
        <v>0</v>
      </c>
      <c r="S38" s="97">
        <f t="shared" si="26"/>
        <v>0</v>
      </c>
      <c r="T38" s="97">
        <f t="shared" si="26"/>
        <v>0</v>
      </c>
      <c r="U38" s="97">
        <f t="shared" si="26"/>
        <v>0</v>
      </c>
      <c r="V38" s="97">
        <f t="shared" si="26"/>
        <v>0</v>
      </c>
    </row>
    <row r="39" spans="1:32">
      <c r="A39" s="669" t="s">
        <v>643</v>
      </c>
      <c r="C39" s="97">
        <f>C11</f>
        <v>0</v>
      </c>
      <c r="D39" s="97">
        <f>D11</f>
        <v>0</v>
      </c>
      <c r="E39" s="97">
        <f t="shared" ref="E39:V39" si="27">E11</f>
        <v>0</v>
      </c>
      <c r="F39" s="97">
        <f t="shared" si="27"/>
        <v>0</v>
      </c>
      <c r="G39" s="97">
        <f t="shared" si="27"/>
        <v>0</v>
      </c>
      <c r="H39" s="97">
        <f t="shared" si="27"/>
        <v>0</v>
      </c>
      <c r="I39" s="97">
        <f t="shared" si="27"/>
        <v>0</v>
      </c>
      <c r="J39" s="97">
        <f t="shared" si="27"/>
        <v>0</v>
      </c>
      <c r="K39" s="97">
        <f t="shared" si="27"/>
        <v>0</v>
      </c>
      <c r="L39" s="97">
        <f t="shared" si="27"/>
        <v>0</v>
      </c>
      <c r="M39" s="97">
        <f t="shared" si="27"/>
        <v>0</v>
      </c>
      <c r="N39" s="97">
        <f t="shared" si="27"/>
        <v>0</v>
      </c>
      <c r="O39" s="97">
        <f t="shared" si="27"/>
        <v>0</v>
      </c>
      <c r="P39" s="97">
        <f t="shared" si="27"/>
        <v>0</v>
      </c>
      <c r="Q39" s="97">
        <f t="shared" si="27"/>
        <v>0</v>
      </c>
      <c r="R39" s="97">
        <f t="shared" si="27"/>
        <v>0</v>
      </c>
      <c r="S39" s="97">
        <f t="shared" si="27"/>
        <v>0</v>
      </c>
      <c r="T39" s="97">
        <f t="shared" si="27"/>
        <v>0</v>
      </c>
      <c r="U39" s="97">
        <f t="shared" si="27"/>
        <v>0</v>
      </c>
      <c r="V39" s="97">
        <f t="shared" si="27"/>
        <v>0</v>
      </c>
    </row>
    <row r="40" spans="1:32">
      <c r="A40" s="669" t="s">
        <v>521</v>
      </c>
      <c r="B40" s="587">
        <v>0.02</v>
      </c>
      <c r="C40" s="97">
        <f>($B$40*C38)+IF(C39&gt;0,0.5*C39*$B$40,0)</f>
        <v>0</v>
      </c>
      <c r="D40" s="97">
        <f>($B$40*D38)+IF(D39&gt;0,0.5*D39*$B$40,0)</f>
        <v>0</v>
      </c>
      <c r="E40" s="97">
        <f t="shared" ref="E40:V40" si="28">($B$40*E38)+IF(E39&gt;0,0.5*E39*$B$40,0)</f>
        <v>0</v>
      </c>
      <c r="F40" s="97">
        <f t="shared" si="28"/>
        <v>0</v>
      </c>
      <c r="G40" s="97">
        <f t="shared" si="28"/>
        <v>0</v>
      </c>
      <c r="H40" s="97">
        <f t="shared" si="28"/>
        <v>0</v>
      </c>
      <c r="I40" s="97">
        <f t="shared" si="28"/>
        <v>0</v>
      </c>
      <c r="J40" s="97">
        <f t="shared" si="28"/>
        <v>0</v>
      </c>
      <c r="K40" s="97">
        <f t="shared" si="28"/>
        <v>0</v>
      </c>
      <c r="L40" s="97">
        <f t="shared" si="28"/>
        <v>0</v>
      </c>
      <c r="M40" s="97">
        <f t="shared" si="28"/>
        <v>0</v>
      </c>
      <c r="N40" s="97">
        <f t="shared" si="28"/>
        <v>0</v>
      </c>
      <c r="O40" s="97">
        <f t="shared" si="28"/>
        <v>0</v>
      </c>
      <c r="P40" s="97">
        <f t="shared" si="28"/>
        <v>0</v>
      </c>
      <c r="Q40" s="97">
        <f t="shared" si="28"/>
        <v>0</v>
      </c>
      <c r="R40" s="97">
        <f t="shared" si="28"/>
        <v>0</v>
      </c>
      <c r="S40" s="97">
        <f t="shared" si="28"/>
        <v>0</v>
      </c>
      <c r="T40" s="97">
        <f t="shared" si="28"/>
        <v>0</v>
      </c>
      <c r="U40" s="97">
        <f t="shared" si="28"/>
        <v>0</v>
      </c>
      <c r="V40" s="97">
        <f t="shared" si="28"/>
        <v>0</v>
      </c>
    </row>
    <row r="41" spans="1:32">
      <c r="A41" s="669" t="s">
        <v>652</v>
      </c>
      <c r="C41" s="55">
        <v>0</v>
      </c>
      <c r="D41" s="55">
        <v>0</v>
      </c>
      <c r="E41" s="55">
        <v>0</v>
      </c>
      <c r="F41" s="55">
        <v>0</v>
      </c>
      <c r="G41" s="55">
        <v>0</v>
      </c>
      <c r="H41" s="55">
        <v>0</v>
      </c>
      <c r="I41" s="55">
        <v>0</v>
      </c>
      <c r="J41" s="55">
        <v>0</v>
      </c>
      <c r="K41" s="55">
        <v>0</v>
      </c>
      <c r="L41" s="55">
        <v>0</v>
      </c>
      <c r="M41" s="55">
        <v>0</v>
      </c>
      <c r="N41" s="55">
        <v>0</v>
      </c>
      <c r="O41" s="55">
        <v>0</v>
      </c>
      <c r="P41" s="55">
        <v>0</v>
      </c>
      <c r="Q41" s="55">
        <v>0</v>
      </c>
      <c r="R41" s="55">
        <v>0</v>
      </c>
      <c r="S41" s="55">
        <v>0</v>
      </c>
      <c r="T41" s="55">
        <v>0</v>
      </c>
      <c r="U41" s="55">
        <v>0</v>
      </c>
      <c r="V41" s="55">
        <v>0</v>
      </c>
    </row>
    <row r="42" spans="1:32">
      <c r="A42" s="669" t="s">
        <v>650</v>
      </c>
      <c r="C42" s="97">
        <f>SUM(C38:C41)</f>
        <v>0</v>
      </c>
      <c r="D42" s="97">
        <f t="shared" ref="D42:V42" si="29">SUM(D38:D41)</f>
        <v>0</v>
      </c>
      <c r="E42" s="97">
        <f t="shared" si="29"/>
        <v>0</v>
      </c>
      <c r="F42" s="97">
        <f t="shared" si="29"/>
        <v>0</v>
      </c>
      <c r="G42" s="97">
        <f t="shared" si="29"/>
        <v>0</v>
      </c>
      <c r="H42" s="97">
        <f t="shared" si="29"/>
        <v>0</v>
      </c>
      <c r="I42" s="97">
        <f t="shared" si="29"/>
        <v>0</v>
      </c>
      <c r="J42" s="97">
        <f t="shared" si="29"/>
        <v>0</v>
      </c>
      <c r="K42" s="97">
        <f t="shared" si="29"/>
        <v>0</v>
      </c>
      <c r="L42" s="97">
        <f t="shared" si="29"/>
        <v>0</v>
      </c>
      <c r="M42" s="97">
        <f t="shared" si="29"/>
        <v>0</v>
      </c>
      <c r="N42" s="97">
        <f t="shared" si="29"/>
        <v>0</v>
      </c>
      <c r="O42" s="97">
        <f t="shared" si="29"/>
        <v>0</v>
      </c>
      <c r="P42" s="97">
        <f t="shared" si="29"/>
        <v>0</v>
      </c>
      <c r="Q42" s="97">
        <f t="shared" si="29"/>
        <v>0</v>
      </c>
      <c r="R42" s="97">
        <f t="shared" si="29"/>
        <v>0</v>
      </c>
      <c r="S42" s="97">
        <f t="shared" si="29"/>
        <v>0</v>
      </c>
      <c r="T42" s="97">
        <f t="shared" si="29"/>
        <v>0</v>
      </c>
      <c r="U42" s="97">
        <f t="shared" si="29"/>
        <v>0</v>
      </c>
      <c r="V42" s="97">
        <f t="shared" si="29"/>
        <v>0</v>
      </c>
    </row>
    <row r="43" spans="1:32">
      <c r="A43" s="669"/>
    </row>
    <row r="44" spans="1:32">
      <c r="C44" s="584">
        <v>1</v>
      </c>
      <c r="D44" s="584">
        <f t="shared" ref="D44:Q44" si="30">C44+1</f>
        <v>2</v>
      </c>
      <c r="E44" s="584">
        <f t="shared" si="30"/>
        <v>3</v>
      </c>
      <c r="F44" s="584">
        <f t="shared" si="30"/>
        <v>4</v>
      </c>
      <c r="G44" s="584">
        <f t="shared" si="30"/>
        <v>5</v>
      </c>
      <c r="H44" s="584">
        <f t="shared" si="30"/>
        <v>6</v>
      </c>
      <c r="I44" s="584">
        <f t="shared" si="30"/>
        <v>7</v>
      </c>
      <c r="J44" s="584">
        <f t="shared" si="30"/>
        <v>8</v>
      </c>
      <c r="K44" s="584">
        <f t="shared" si="30"/>
        <v>9</v>
      </c>
      <c r="L44" s="584">
        <f t="shared" si="30"/>
        <v>10</v>
      </c>
      <c r="M44" s="584">
        <f t="shared" si="30"/>
        <v>11</v>
      </c>
      <c r="N44" s="584">
        <f t="shared" si="30"/>
        <v>12</v>
      </c>
      <c r="O44" s="584">
        <f t="shared" si="30"/>
        <v>13</v>
      </c>
      <c r="P44" s="584">
        <f t="shared" si="30"/>
        <v>14</v>
      </c>
      <c r="Q44" s="584">
        <f t="shared" si="30"/>
        <v>15</v>
      </c>
    </row>
    <row r="45" spans="1:32">
      <c r="A45" s="669" t="s">
        <v>632</v>
      </c>
      <c r="C45" s="97">
        <f>C14</f>
        <v>0</v>
      </c>
      <c r="D45" s="97">
        <f t="shared" ref="D45:Q45" si="31">D14</f>
        <v>0</v>
      </c>
      <c r="E45" s="97">
        <f t="shared" si="31"/>
        <v>0</v>
      </c>
      <c r="F45" s="97">
        <f t="shared" si="31"/>
        <v>0</v>
      </c>
      <c r="G45" s="97">
        <f t="shared" si="31"/>
        <v>0</v>
      </c>
      <c r="H45" s="97">
        <f t="shared" si="31"/>
        <v>0</v>
      </c>
      <c r="I45" s="97">
        <f t="shared" si="31"/>
        <v>0</v>
      </c>
      <c r="J45" s="97">
        <f t="shared" si="31"/>
        <v>0</v>
      </c>
      <c r="K45" s="97">
        <f t="shared" si="31"/>
        <v>0</v>
      </c>
      <c r="L45" s="97">
        <f t="shared" si="31"/>
        <v>0</v>
      </c>
      <c r="M45" s="97">
        <f t="shared" si="31"/>
        <v>0</v>
      </c>
      <c r="N45" s="97">
        <f t="shared" si="31"/>
        <v>0</v>
      </c>
      <c r="O45" s="97">
        <f t="shared" si="31"/>
        <v>0</v>
      </c>
      <c r="P45" s="97">
        <f t="shared" si="31"/>
        <v>0</v>
      </c>
      <c r="Q45" s="97">
        <f t="shared" si="31"/>
        <v>0</v>
      </c>
    </row>
    <row r="46" spans="1:32">
      <c r="A46" s="669" t="s">
        <v>653</v>
      </c>
      <c r="C46" s="97">
        <f>C11</f>
        <v>0</v>
      </c>
      <c r="D46" s="97">
        <f t="shared" ref="D46:Q46" si="32">D11</f>
        <v>0</v>
      </c>
      <c r="E46" s="97">
        <f t="shared" si="32"/>
        <v>0</v>
      </c>
      <c r="F46" s="97">
        <f t="shared" si="32"/>
        <v>0</v>
      </c>
      <c r="G46" s="97">
        <f t="shared" si="32"/>
        <v>0</v>
      </c>
      <c r="H46" s="97">
        <f t="shared" si="32"/>
        <v>0</v>
      </c>
      <c r="I46" s="97">
        <f t="shared" si="32"/>
        <v>0</v>
      </c>
      <c r="J46" s="97">
        <f t="shared" si="32"/>
        <v>0</v>
      </c>
      <c r="K46" s="97">
        <f t="shared" si="32"/>
        <v>0</v>
      </c>
      <c r="L46" s="97">
        <f t="shared" si="32"/>
        <v>0</v>
      </c>
      <c r="M46" s="97">
        <f t="shared" si="32"/>
        <v>0</v>
      </c>
      <c r="N46" s="97">
        <f t="shared" si="32"/>
        <v>0</v>
      </c>
      <c r="O46" s="97">
        <f t="shared" si="32"/>
        <v>0</v>
      </c>
      <c r="P46" s="97">
        <f t="shared" si="32"/>
        <v>0</v>
      </c>
      <c r="Q46" s="97">
        <f t="shared" si="32"/>
        <v>0</v>
      </c>
    </row>
    <row r="47" spans="1:32">
      <c r="A47" s="669" t="s">
        <v>654</v>
      </c>
      <c r="C47" s="97">
        <f>-C31</f>
        <v>0</v>
      </c>
      <c r="D47" s="97">
        <f t="shared" ref="D47:Q47" si="33">-D31</f>
        <v>0</v>
      </c>
      <c r="E47" s="97">
        <f t="shared" si="33"/>
        <v>0</v>
      </c>
      <c r="F47" s="97">
        <f t="shared" si="33"/>
        <v>0</v>
      </c>
      <c r="G47" s="97">
        <f t="shared" si="33"/>
        <v>0</v>
      </c>
      <c r="H47" s="97">
        <f t="shared" si="33"/>
        <v>0</v>
      </c>
      <c r="I47" s="97">
        <f t="shared" si="33"/>
        <v>0</v>
      </c>
      <c r="J47" s="97">
        <f t="shared" si="33"/>
        <v>0</v>
      </c>
      <c r="K47" s="97">
        <f t="shared" si="33"/>
        <v>0</v>
      </c>
      <c r="L47" s="97">
        <f t="shared" si="33"/>
        <v>0</v>
      </c>
      <c r="M47" s="97">
        <f t="shared" si="33"/>
        <v>0</v>
      </c>
      <c r="N47" s="97">
        <f t="shared" si="33"/>
        <v>0</v>
      </c>
      <c r="O47" s="97">
        <f t="shared" si="33"/>
        <v>0</v>
      </c>
      <c r="P47" s="97">
        <f t="shared" si="33"/>
        <v>0</v>
      </c>
      <c r="Q47" s="97">
        <f t="shared" si="33"/>
        <v>0</v>
      </c>
    </row>
    <row r="48" spans="1:32">
      <c r="A48" s="669" t="s">
        <v>655</v>
      </c>
      <c r="C48" s="97">
        <f>-amortizations!B424</f>
        <v>0</v>
      </c>
      <c r="D48" s="97">
        <f>-amortizations!C424</f>
        <v>0</v>
      </c>
      <c r="E48" s="97">
        <f>-amortizations!D424</f>
        <v>0</v>
      </c>
      <c r="F48" s="97">
        <f>-amortizations!E424</f>
        <v>0</v>
      </c>
      <c r="G48" s="97">
        <f>-amortizations!F424</f>
        <v>0</v>
      </c>
      <c r="H48" s="97">
        <f>-amortizations!G424</f>
        <v>0</v>
      </c>
      <c r="I48" s="97">
        <f>-amortizations!H424</f>
        <v>0</v>
      </c>
      <c r="J48" s="97">
        <f>-amortizations!I424</f>
        <v>0</v>
      </c>
      <c r="K48" s="97">
        <f>-amortizations!J424</f>
        <v>0</v>
      </c>
      <c r="L48" s="97">
        <f>-amortizations!K424</f>
        <v>0</v>
      </c>
      <c r="M48" s="97">
        <f>-amortizations!L424</f>
        <v>0</v>
      </c>
      <c r="N48" s="97">
        <f>-amortizations!M424</f>
        <v>0</v>
      </c>
      <c r="O48" s="97">
        <f>-amortizations!N424</f>
        <v>0</v>
      </c>
      <c r="P48" s="97">
        <f>-amortizations!O424</f>
        <v>0</v>
      </c>
      <c r="Q48" s="97">
        <f>-amortizations!P424</f>
        <v>0</v>
      </c>
    </row>
    <row r="49" spans="1:21">
      <c r="A49" s="669" t="s">
        <v>656</v>
      </c>
      <c r="C49" s="97">
        <f>IF(C2&lt;=assumptions!$E$11,-1*('credit calcs'!$Z$103),0)</f>
        <v>0</v>
      </c>
      <c r="D49" s="97">
        <f>IF(D2&lt;=assumptions!$E$11,-1*('credit calcs'!$Z$103),0)</f>
        <v>0</v>
      </c>
      <c r="E49" s="97">
        <f>IF(E2&lt;=assumptions!$E$11,-1*('credit calcs'!$Z$103),0)</f>
        <v>0</v>
      </c>
      <c r="F49" s="97">
        <f>IF(F2&lt;=assumptions!$E$11,-1*('credit calcs'!$Z$103),0)</f>
        <v>0</v>
      </c>
      <c r="G49" s="97">
        <f>IF(G2&lt;=assumptions!$E$11,-1*('credit calcs'!$Z$103),0)</f>
        <v>0</v>
      </c>
      <c r="H49" s="97">
        <f>IF(H2&lt;=assumptions!$E$11,-1*('credit calcs'!$Z$103),0)</f>
        <v>0</v>
      </c>
      <c r="I49" s="97">
        <f>IF(I2&lt;=assumptions!$E$11,-1*('credit calcs'!$Z$103),0)</f>
        <v>0</v>
      </c>
      <c r="J49" s="97">
        <f>IF(J2&lt;=assumptions!$E$11,-1*('credit calcs'!$Z$103),0)</f>
        <v>0</v>
      </c>
      <c r="K49" s="97">
        <f>IF(K2&lt;=assumptions!$E$11,-1*('credit calcs'!$Z$103),0)</f>
        <v>0</v>
      </c>
      <c r="L49" s="97">
        <f>IF(L2&lt;=assumptions!$E$11,-1*('credit calcs'!$Z$103),0)</f>
        <v>0</v>
      </c>
      <c r="M49" s="97">
        <f>IF(M2&lt;=assumptions!$E$11,-1*('credit calcs'!$Z$103),0)</f>
        <v>0</v>
      </c>
      <c r="N49" s="97">
        <f>IF(N2&lt;=assumptions!$E$11,-1*('credit calcs'!$Z$103),0)</f>
        <v>0</v>
      </c>
      <c r="O49" s="97">
        <f>IF(O2&lt;=assumptions!$E$11,-1*('credit calcs'!$Z$103),0)</f>
        <v>0</v>
      </c>
      <c r="P49" s="97">
        <f>IF(P2&lt;=assumptions!$E$11,-1*('credit calcs'!$Z$103),0)</f>
        <v>0</v>
      </c>
      <c r="Q49" s="97">
        <f>IF(Q2&lt;=assumptions!$E$11,-1*('credit calcs'!$Z$103),0)</f>
        <v>0</v>
      </c>
      <c r="S49" s="655"/>
      <c r="T49" s="655"/>
      <c r="U49" s="655"/>
    </row>
    <row r="50" spans="1:21">
      <c r="A50" s="669" t="s">
        <v>657</v>
      </c>
      <c r="C50" s="97">
        <f>IF(C3&lt;=assumptions!$E$12,-1*('credit calcs'!$Z$111),0)</f>
        <v>0</v>
      </c>
      <c r="D50" s="97">
        <f>IF(D3&lt;=assumptions!$E$12,-1*('credit calcs'!$Z$111),0)</f>
        <v>0</v>
      </c>
      <c r="E50" s="97">
        <f>IF(E3&lt;=assumptions!$E$12,-1*('credit calcs'!$Z$111),0)</f>
        <v>0</v>
      </c>
      <c r="F50" s="97">
        <f>IF(F3&lt;=assumptions!$E$12,-1*('credit calcs'!$Z$111),0)</f>
        <v>0</v>
      </c>
      <c r="G50" s="97">
        <f>IF(G3&lt;=assumptions!$E$12,-1*('credit calcs'!$Z$111),0)</f>
        <v>0</v>
      </c>
      <c r="H50" s="97">
        <f>IF(H3&lt;=assumptions!$E$12,-1*('credit calcs'!$Z$111),0)</f>
        <v>0</v>
      </c>
      <c r="I50" s="97">
        <f>IF(I3&lt;=assumptions!$E$12,-1*('credit calcs'!$Z$111),0)</f>
        <v>0</v>
      </c>
      <c r="J50" s="97">
        <f>IF(J3&lt;=assumptions!$E$12,-1*('credit calcs'!$Z$111),0)</f>
        <v>0</v>
      </c>
      <c r="K50" s="97">
        <f>IF(K3&lt;=assumptions!$E$12,-1*('credit calcs'!$Z$111),0)</f>
        <v>0</v>
      </c>
      <c r="L50" s="97">
        <f>IF(L3&lt;=assumptions!$E$12,-1*('credit calcs'!$Z$111),0)</f>
        <v>0</v>
      </c>
      <c r="M50" s="97">
        <f>IF(M3&lt;=assumptions!$E$12,-1*('credit calcs'!$Z$111),0)</f>
        <v>0</v>
      </c>
      <c r="N50" s="97">
        <f>IF(N3&lt;=assumptions!$E$12,-1*('credit calcs'!$Z$111),0)</f>
        <v>0</v>
      </c>
      <c r="O50" s="97">
        <f>IF(O3&lt;=assumptions!$E$12,-1*('credit calcs'!$Z$111),0)</f>
        <v>0</v>
      </c>
      <c r="P50" s="97">
        <f>IF(P3&lt;=assumptions!$E$12,-1*('credit calcs'!$Z$111),0)</f>
        <v>0</v>
      </c>
      <c r="Q50" s="97">
        <f>IF(Q3&lt;=assumptions!$E$12,-1*('credit calcs'!$Z$111),0)</f>
        <v>0</v>
      </c>
      <c r="S50" s="655"/>
      <c r="T50" s="655"/>
      <c r="U50" s="655"/>
    </row>
    <row r="51" spans="1:21">
      <c r="A51" s="772" t="s">
        <v>658</v>
      </c>
      <c r="C51" s="97">
        <f>IF(C2&lt;=assumptions!$E$13,-1*('credit calcs'!$Z$107),0)</f>
        <v>0</v>
      </c>
      <c r="D51" s="97">
        <f>IF(D2&lt;=assumptions!$E$13,-1*('credit calcs'!$Z$107),0)</f>
        <v>0</v>
      </c>
      <c r="E51" s="97">
        <f>IF(E2&lt;=assumptions!$E$13,-1*('credit calcs'!$Z$107),0)</f>
        <v>0</v>
      </c>
      <c r="F51" s="97">
        <f>IF(F2&lt;=assumptions!$E$13,-1*('credit calcs'!$Z$107),0)</f>
        <v>0</v>
      </c>
      <c r="G51" s="97">
        <f>IF(G2&lt;=assumptions!$E$13,-1*('credit calcs'!$Z$107),0)</f>
        <v>0</v>
      </c>
      <c r="H51" s="97">
        <f>IF(H2&lt;=assumptions!$E$13,-1*('credit calcs'!$Z$107),0)</f>
        <v>0</v>
      </c>
      <c r="I51" s="97">
        <f>IF(I2&lt;=assumptions!$E$13,-1*('credit calcs'!$Z$107),0)</f>
        <v>0</v>
      </c>
      <c r="J51" s="97">
        <f>IF(J2&lt;=assumptions!$E$13,-1*('credit calcs'!$Z$107),0)</f>
        <v>0</v>
      </c>
      <c r="K51" s="97">
        <f>IF(K2&lt;=assumptions!$E$13,-1*('credit calcs'!$Z$107),0)</f>
        <v>0</v>
      </c>
      <c r="L51" s="97">
        <f>IF(L2&lt;=assumptions!$E$13,-1*('credit calcs'!$Z$107),0)</f>
        <v>0</v>
      </c>
      <c r="M51" s="97">
        <f>IF(M2&lt;=assumptions!$E$13,-1*('credit calcs'!$Z$107),0)</f>
        <v>0</v>
      </c>
      <c r="N51" s="97">
        <f>IF(N2&lt;=assumptions!$E$13,-1*('credit calcs'!$Z$107),0)</f>
        <v>0</v>
      </c>
      <c r="O51" s="97">
        <f>IF(O2&lt;=assumptions!$E$13,-1*('credit calcs'!$Z$107),0)</f>
        <v>0</v>
      </c>
      <c r="P51" s="97">
        <f>IF(P2&lt;=assumptions!$E$13,-1*('credit calcs'!$Z$107),0)</f>
        <v>0</v>
      </c>
      <c r="Q51" s="97">
        <f>IF(Q2&lt;=assumptions!$E$13,-1*('credit calcs'!$Z$107),0)</f>
        <v>0</v>
      </c>
      <c r="S51" s="590"/>
    </row>
    <row r="52" spans="1:21">
      <c r="A52" s="669" t="s">
        <v>659</v>
      </c>
      <c r="C52" s="121">
        <f>SUM(C45:C51)</f>
        <v>0</v>
      </c>
      <c r="D52" s="121">
        <f t="shared" ref="D52:Q52" si="34">SUM(D45:D51)</f>
        <v>0</v>
      </c>
      <c r="E52" s="121">
        <f t="shared" si="34"/>
        <v>0</v>
      </c>
      <c r="F52" s="121">
        <f t="shared" si="34"/>
        <v>0</v>
      </c>
      <c r="G52" s="121">
        <f t="shared" si="34"/>
        <v>0</v>
      </c>
      <c r="H52" s="121">
        <f t="shared" si="34"/>
        <v>0</v>
      </c>
      <c r="I52" s="121">
        <f t="shared" si="34"/>
        <v>0</v>
      </c>
      <c r="J52" s="121">
        <f t="shared" si="34"/>
        <v>0</v>
      </c>
      <c r="K52" s="121">
        <f t="shared" si="34"/>
        <v>0</v>
      </c>
      <c r="L52" s="121">
        <f t="shared" si="34"/>
        <v>0</v>
      </c>
      <c r="M52" s="121">
        <f t="shared" si="34"/>
        <v>0</v>
      </c>
      <c r="N52" s="121">
        <f t="shared" si="34"/>
        <v>0</v>
      </c>
      <c r="O52" s="121">
        <f t="shared" si="34"/>
        <v>0</v>
      </c>
      <c r="P52" s="121">
        <f t="shared" si="34"/>
        <v>0</v>
      </c>
      <c r="Q52" s="121">
        <f t="shared" si="34"/>
        <v>0</v>
      </c>
      <c r="S52" s="590"/>
    </row>
    <row r="53" spans="1:21">
      <c r="A53" s="669"/>
      <c r="C53" s="122"/>
      <c r="D53" s="122"/>
      <c r="E53" s="122"/>
      <c r="F53" s="122"/>
      <c r="G53" s="122"/>
      <c r="H53" s="122"/>
      <c r="I53" s="122"/>
      <c r="J53" s="122"/>
      <c r="K53" s="122"/>
      <c r="L53" s="122"/>
      <c r="M53" s="122"/>
      <c r="N53" s="122"/>
      <c r="O53" s="122"/>
      <c r="P53" s="122"/>
      <c r="Q53" s="122"/>
      <c r="S53" s="590"/>
    </row>
    <row r="54" spans="1:21">
      <c r="A54" s="669" t="s">
        <v>660</v>
      </c>
      <c r="C54" s="8">
        <v>0</v>
      </c>
      <c r="D54" s="8">
        <v>0</v>
      </c>
      <c r="E54" s="8">
        <v>0</v>
      </c>
      <c r="F54" s="8">
        <v>0</v>
      </c>
      <c r="G54" s="8">
        <v>0</v>
      </c>
      <c r="H54" s="8">
        <v>0</v>
      </c>
      <c r="I54" s="8">
        <v>0</v>
      </c>
      <c r="J54" s="8">
        <v>0</v>
      </c>
      <c r="K54" s="8">
        <v>0</v>
      </c>
      <c r="L54" s="8">
        <v>0</v>
      </c>
      <c r="M54" s="8">
        <v>0</v>
      </c>
      <c r="N54" s="8">
        <v>0</v>
      </c>
      <c r="O54" s="8">
        <v>0</v>
      </c>
      <c r="P54" s="8">
        <v>0</v>
      </c>
      <c r="Q54" s="8">
        <v>0</v>
      </c>
      <c r="S54" s="590"/>
    </row>
    <row r="55" spans="1:21">
      <c r="A55" s="669" t="s">
        <v>661</v>
      </c>
      <c r="C55" s="97">
        <f>-cashflows!C52*assumptions!$E$10</f>
        <v>0</v>
      </c>
      <c r="D55" s="97">
        <f>-D52*assumptions!$E$10</f>
        <v>0</v>
      </c>
      <c r="E55" s="97">
        <f>-E52*assumptions!$E$10</f>
        <v>0</v>
      </c>
      <c r="F55" s="97">
        <f>-F52*assumptions!$E$10</f>
        <v>0</v>
      </c>
      <c r="G55" s="97">
        <f>-G52*assumptions!$E$10</f>
        <v>0</v>
      </c>
      <c r="H55" s="97">
        <f>-H52*assumptions!$E$10</f>
        <v>0</v>
      </c>
      <c r="I55" s="97">
        <f>-I52*assumptions!$E$10</f>
        <v>0</v>
      </c>
      <c r="J55" s="97">
        <f>-J52*assumptions!$E$10</f>
        <v>0</v>
      </c>
      <c r="K55" s="97">
        <f>-K52*assumptions!$E$10</f>
        <v>0</v>
      </c>
      <c r="L55" s="97">
        <f>-L52*assumptions!$E$10</f>
        <v>0</v>
      </c>
      <c r="M55" s="97">
        <f>-M52*assumptions!$E$10</f>
        <v>0</v>
      </c>
      <c r="N55" s="97">
        <f>-N52*assumptions!$E$10</f>
        <v>0</v>
      </c>
      <c r="O55" s="97">
        <f>-O52*assumptions!$E$10</f>
        <v>0</v>
      </c>
      <c r="P55" s="97">
        <f>-P52*assumptions!$E$10</f>
        <v>0</v>
      </c>
      <c r="Q55" s="97">
        <f>-Q52*assumptions!$E$10</f>
        <v>0</v>
      </c>
      <c r="S55" s="590"/>
      <c r="T55" s="587"/>
    </row>
    <row r="56" spans="1:21">
      <c r="A56" s="669" t="s">
        <v>662</v>
      </c>
      <c r="C56" s="97">
        <f>'credit calcs'!$AA$97/5</f>
        <v>0</v>
      </c>
      <c r="D56" s="97">
        <f>'credit calcs'!$AA$97/5</f>
        <v>0</v>
      </c>
      <c r="E56" s="97">
        <f>'credit calcs'!$AA$97/5</f>
        <v>0</v>
      </c>
      <c r="F56" s="97">
        <f>'credit calcs'!$AA$97/5</f>
        <v>0</v>
      </c>
      <c r="G56" s="97">
        <f>'credit calcs'!$AA$97/5</f>
        <v>0</v>
      </c>
      <c r="H56" s="97"/>
      <c r="I56" s="97"/>
      <c r="J56" s="97"/>
      <c r="K56" s="97"/>
      <c r="L56" s="97"/>
      <c r="M56" s="97"/>
      <c r="N56" s="97"/>
      <c r="O56" s="97"/>
      <c r="P56" s="97"/>
      <c r="Q56" s="97"/>
      <c r="S56" s="590"/>
      <c r="T56" s="587"/>
    </row>
    <row r="57" spans="1:21">
      <c r="A57" s="669" t="s">
        <v>663</v>
      </c>
      <c r="C57" s="97">
        <f>'credit calcs'!AB97+'credit calcs'!AC97</f>
        <v>0</v>
      </c>
      <c r="D57" s="97"/>
      <c r="E57" s="97"/>
      <c r="F57" s="97"/>
      <c r="G57" s="97"/>
      <c r="H57" s="97"/>
      <c r="I57" s="97"/>
      <c r="J57" s="97"/>
      <c r="K57" s="97"/>
      <c r="L57" s="97"/>
      <c r="M57" s="97"/>
      <c r="N57" s="97"/>
      <c r="O57" s="97"/>
      <c r="P57" s="97"/>
      <c r="Q57" s="97"/>
      <c r="S57" s="590"/>
      <c r="T57" s="587"/>
    </row>
    <row r="58" spans="1:21">
      <c r="A58" s="669" t="s">
        <v>664</v>
      </c>
      <c r="C58" s="6">
        <v>0</v>
      </c>
      <c r="D58" s="6">
        <v>0</v>
      </c>
      <c r="E58" s="6">
        <v>0</v>
      </c>
      <c r="F58" s="6">
        <v>0</v>
      </c>
      <c r="G58" s="6">
        <v>0</v>
      </c>
      <c r="H58" s="97"/>
      <c r="I58" s="97"/>
      <c r="J58" s="97"/>
      <c r="K58" s="97"/>
      <c r="L58" s="97"/>
      <c r="M58" s="97"/>
      <c r="N58" s="97"/>
      <c r="O58" s="97"/>
      <c r="P58" s="97"/>
      <c r="Q58" s="97"/>
      <c r="S58" s="590"/>
      <c r="T58" s="587"/>
    </row>
    <row r="59" spans="1:21">
      <c r="A59" s="669" t="s">
        <v>665</v>
      </c>
      <c r="C59" s="97">
        <f>assumptions!$B$15</f>
        <v>0</v>
      </c>
      <c r="D59" s="97">
        <f>assumptions!$B$15</f>
        <v>0</v>
      </c>
      <c r="E59" s="97">
        <f>assumptions!$B$15</f>
        <v>0</v>
      </c>
      <c r="F59" s="97">
        <f>assumptions!$B$15</f>
        <v>0</v>
      </c>
      <c r="G59" s="97">
        <f>assumptions!$B$15</f>
        <v>0</v>
      </c>
      <c r="H59" s="97">
        <f>assumptions!$B$15</f>
        <v>0</v>
      </c>
      <c r="I59" s="97">
        <f>assumptions!$B$15</f>
        <v>0</v>
      </c>
      <c r="J59" s="97">
        <f>assumptions!$B$15</f>
        <v>0</v>
      </c>
      <c r="K59" s="97">
        <f>assumptions!$B$15</f>
        <v>0</v>
      </c>
      <c r="L59" s="97">
        <f>assumptions!$B$15</f>
        <v>0</v>
      </c>
      <c r="M59" s="97"/>
      <c r="N59" s="97"/>
      <c r="O59" s="97"/>
      <c r="P59" s="97"/>
      <c r="Q59" s="97"/>
    </row>
    <row r="60" spans="1:21" ht="14.4" thickBot="1">
      <c r="A60" s="669" t="s">
        <v>666</v>
      </c>
      <c r="C60" s="121">
        <f>SUM(C54:C59)</f>
        <v>0</v>
      </c>
      <c r="D60" s="121">
        <f t="shared" ref="D60:Q60" si="35">SUM(D54:D59)</f>
        <v>0</v>
      </c>
      <c r="E60" s="121">
        <f t="shared" si="35"/>
        <v>0</v>
      </c>
      <c r="F60" s="121">
        <f t="shared" si="35"/>
        <v>0</v>
      </c>
      <c r="G60" s="121">
        <f t="shared" si="35"/>
        <v>0</v>
      </c>
      <c r="H60" s="121">
        <f t="shared" si="35"/>
        <v>0</v>
      </c>
      <c r="I60" s="121">
        <f t="shared" si="35"/>
        <v>0</v>
      </c>
      <c r="J60" s="121">
        <f t="shared" si="35"/>
        <v>0</v>
      </c>
      <c r="K60" s="121">
        <f t="shared" si="35"/>
        <v>0</v>
      </c>
      <c r="L60" s="121">
        <f t="shared" si="35"/>
        <v>0</v>
      </c>
      <c r="M60" s="121">
        <f t="shared" si="35"/>
        <v>0</v>
      </c>
      <c r="N60" s="121">
        <f t="shared" si="35"/>
        <v>0</v>
      </c>
      <c r="O60" s="121">
        <f t="shared" si="35"/>
        <v>0</v>
      </c>
      <c r="P60" s="121">
        <f t="shared" si="35"/>
        <v>0</v>
      </c>
      <c r="Q60" s="121">
        <f t="shared" si="35"/>
        <v>0</v>
      </c>
    </row>
    <row r="61" spans="1:21" ht="14.4" thickTop="1">
      <c r="A61" s="669"/>
      <c r="C61" s="763"/>
      <c r="D61" s="763"/>
      <c r="E61" s="763"/>
      <c r="F61" s="763"/>
      <c r="G61" s="763"/>
      <c r="H61" s="763"/>
      <c r="I61" s="763"/>
      <c r="J61" s="763"/>
      <c r="K61" s="763"/>
      <c r="L61" s="763"/>
      <c r="M61" s="763"/>
      <c r="N61" s="763"/>
      <c r="O61" s="773"/>
      <c r="P61" s="773"/>
      <c r="Q61" s="773"/>
    </row>
    <row r="62" spans="1:21">
      <c r="A62" s="669"/>
      <c r="C62" s="655"/>
      <c r="D62" s="655"/>
      <c r="E62" s="655"/>
      <c r="F62" s="655"/>
      <c r="G62" s="655"/>
      <c r="H62" s="655"/>
      <c r="I62" s="655"/>
      <c r="J62" s="655"/>
      <c r="K62" s="655"/>
      <c r="L62" s="655"/>
      <c r="M62" s="655"/>
      <c r="N62" s="655"/>
    </row>
    <row r="63" spans="1:21">
      <c r="A63" s="669"/>
      <c r="C63" s="655"/>
      <c r="D63" s="655"/>
      <c r="E63" s="655"/>
      <c r="F63" s="655"/>
      <c r="G63" s="655"/>
      <c r="H63" s="655"/>
      <c r="I63" s="655"/>
      <c r="J63" s="655"/>
      <c r="K63" s="655"/>
      <c r="L63" s="655"/>
      <c r="M63" s="655"/>
      <c r="N63" s="655"/>
    </row>
    <row r="64" spans="1:21">
      <c r="A64" s="774" t="s">
        <v>667</v>
      </c>
      <c r="B64" s="674"/>
      <c r="C64" s="775"/>
      <c r="D64" s="775"/>
      <c r="E64" s="775"/>
      <c r="F64" s="775"/>
      <c r="G64" s="775"/>
      <c r="H64" s="775"/>
      <c r="I64" s="775"/>
      <c r="J64" s="775"/>
      <c r="K64" s="775"/>
      <c r="L64" s="775"/>
      <c r="M64" s="775"/>
      <c r="N64" s="775"/>
      <c r="O64" s="674"/>
      <c r="P64" s="674"/>
      <c r="Q64" s="674"/>
    </row>
    <row r="65" spans="1:17">
      <c r="A65" s="669" t="s">
        <v>668</v>
      </c>
      <c r="B65" s="584">
        <v>15</v>
      </c>
    </row>
    <row r="66" spans="1:17">
      <c r="A66" s="669" t="s">
        <v>669</v>
      </c>
      <c r="B66" s="587">
        <v>0.06</v>
      </c>
    </row>
    <row r="67" spans="1:17">
      <c r="A67" s="591"/>
      <c r="C67" s="775">
        <v>1</v>
      </c>
      <c r="D67" s="775">
        <f t="shared" ref="D67:Q67" si="36">C67+1</f>
        <v>2</v>
      </c>
      <c r="E67" s="775">
        <f t="shared" si="36"/>
        <v>3</v>
      </c>
      <c r="F67" s="775">
        <f t="shared" si="36"/>
        <v>4</v>
      </c>
      <c r="G67" s="775">
        <f t="shared" si="36"/>
        <v>5</v>
      </c>
      <c r="H67" s="775">
        <f t="shared" si="36"/>
        <v>6</v>
      </c>
      <c r="I67" s="775">
        <f t="shared" si="36"/>
        <v>7</v>
      </c>
      <c r="J67" s="775">
        <f t="shared" si="36"/>
        <v>8</v>
      </c>
      <c r="K67" s="775">
        <f t="shared" si="36"/>
        <v>9</v>
      </c>
      <c r="L67" s="775">
        <f t="shared" si="36"/>
        <v>10</v>
      </c>
      <c r="M67" s="775">
        <f t="shared" si="36"/>
        <v>11</v>
      </c>
      <c r="N67" s="775">
        <f t="shared" si="36"/>
        <v>12</v>
      </c>
      <c r="O67" s="775">
        <f t="shared" si="36"/>
        <v>13</v>
      </c>
      <c r="P67" s="775">
        <f t="shared" si="36"/>
        <v>14</v>
      </c>
      <c r="Q67" s="775">
        <f t="shared" si="36"/>
        <v>15</v>
      </c>
    </row>
    <row r="68" spans="1:17">
      <c r="A68" s="669" t="s">
        <v>670</v>
      </c>
      <c r="C68" s="584">
        <f>C60</f>
        <v>0</v>
      </c>
      <c r="D68" s="584">
        <f t="shared" ref="D68:Q68" si="37">D60</f>
        <v>0</v>
      </c>
      <c r="E68" s="584">
        <f t="shared" si="37"/>
        <v>0</v>
      </c>
      <c r="F68" s="584">
        <f t="shared" si="37"/>
        <v>0</v>
      </c>
      <c r="G68" s="584">
        <f t="shared" si="37"/>
        <v>0</v>
      </c>
      <c r="H68" s="584">
        <f t="shared" si="37"/>
        <v>0</v>
      </c>
      <c r="I68" s="584">
        <f t="shared" si="37"/>
        <v>0</v>
      </c>
      <c r="J68" s="584">
        <f t="shared" si="37"/>
        <v>0</v>
      </c>
      <c r="K68" s="584">
        <f t="shared" si="37"/>
        <v>0</v>
      </c>
      <c r="L68" s="584">
        <f t="shared" si="37"/>
        <v>0</v>
      </c>
      <c r="M68" s="584">
        <f t="shared" si="37"/>
        <v>0</v>
      </c>
      <c r="N68" s="584">
        <f t="shared" si="37"/>
        <v>0</v>
      </c>
      <c r="O68" s="584">
        <f t="shared" si="37"/>
        <v>0</v>
      </c>
      <c r="P68" s="584">
        <f t="shared" si="37"/>
        <v>0</v>
      </c>
      <c r="Q68" s="584">
        <f t="shared" si="37"/>
        <v>0</v>
      </c>
    </row>
    <row r="69" spans="1:17">
      <c r="A69" s="669" t="s">
        <v>671</v>
      </c>
      <c r="C69" s="584">
        <f>C68*((1+$B$66)^($B$65-B70))</f>
        <v>0</v>
      </c>
      <c r="D69" s="584">
        <f>D68*((1+$B$66)^($B$65-C67))</f>
        <v>0</v>
      </c>
      <c r="E69" s="584">
        <f>E68*((1+$B$66)^($B$65-D67))</f>
        <v>0</v>
      </c>
      <c r="F69" s="584">
        <f>F68*((1+$B$66)^($B$65-E67))</f>
        <v>0</v>
      </c>
      <c r="G69" s="584">
        <f>G68*((1+$B$66)^($B$65-F67))</f>
        <v>0</v>
      </c>
      <c r="H69" s="584">
        <f t="shared" ref="H69:Q69" si="38">H68*((1+$B$66)^($B$65-G67))</f>
        <v>0</v>
      </c>
      <c r="I69" s="584">
        <f t="shared" si="38"/>
        <v>0</v>
      </c>
      <c r="J69" s="584">
        <f t="shared" si="38"/>
        <v>0</v>
      </c>
      <c r="K69" s="584">
        <f t="shared" si="38"/>
        <v>0</v>
      </c>
      <c r="L69" s="584">
        <f t="shared" si="38"/>
        <v>0</v>
      </c>
      <c r="M69" s="584">
        <f t="shared" si="38"/>
        <v>0</v>
      </c>
      <c r="N69" s="584">
        <f t="shared" si="38"/>
        <v>0</v>
      </c>
      <c r="O69" s="584">
        <f t="shared" si="38"/>
        <v>0</v>
      </c>
      <c r="P69" s="584">
        <f t="shared" si="38"/>
        <v>0</v>
      </c>
      <c r="Q69" s="584">
        <f t="shared" si="38"/>
        <v>0</v>
      </c>
    </row>
    <row r="70" spans="1:17">
      <c r="B70" s="655"/>
    </row>
    <row r="71" spans="1:17">
      <c r="A71" s="591" t="s">
        <v>672</v>
      </c>
      <c r="B71" s="776">
        <v>0.03</v>
      </c>
      <c r="C71" s="655"/>
      <c r="D71" s="655"/>
      <c r="E71" s="655"/>
      <c r="F71" s="655"/>
      <c r="G71" s="655"/>
      <c r="H71" s="655"/>
      <c r="I71" s="655"/>
      <c r="J71" s="655"/>
      <c r="K71" s="655"/>
      <c r="L71" s="655"/>
      <c r="M71" s="655"/>
      <c r="N71" s="655"/>
      <c r="O71" s="655"/>
      <c r="P71" s="655"/>
    </row>
    <row r="72" spans="1:17">
      <c r="A72" s="591" t="s">
        <v>673</v>
      </c>
      <c r="B72" s="584">
        <v>1</v>
      </c>
      <c r="C72" s="584">
        <v>2</v>
      </c>
      <c r="D72" s="584">
        <v>3</v>
      </c>
      <c r="E72" s="584">
        <v>4</v>
      </c>
    </row>
    <row r="73" spans="1:17">
      <c r="A73" s="591" t="s">
        <v>674</v>
      </c>
      <c r="B73" s="777"/>
      <c r="C73" s="777"/>
      <c r="D73" s="777"/>
      <c r="E73" s="777"/>
    </row>
    <row r="74" spans="1:17">
      <c r="A74" s="669" t="s">
        <v>675</v>
      </c>
      <c r="B74" s="584">
        <v>0</v>
      </c>
      <c r="C74" s="584">
        <v>0</v>
      </c>
      <c r="D74" s="584">
        <v>0</v>
      </c>
      <c r="E74" s="584">
        <v>0</v>
      </c>
    </row>
    <row r="75" spans="1:17">
      <c r="A75" s="669" t="s">
        <v>676</v>
      </c>
      <c r="B75" s="584">
        <f>B74</f>
        <v>0</v>
      </c>
      <c r="C75" s="674">
        <f>C74*(1/(1+($B$71/360))^(C73-$B$73))</f>
        <v>0</v>
      </c>
      <c r="D75" s="674">
        <f>D74*(1/(1+($B$71/360))^(D73-$B$73))</f>
        <v>0</v>
      </c>
      <c r="E75" s="674">
        <f>E74*(1/(1+($B$71/360))^(E73-$B$73))</f>
        <v>0</v>
      </c>
      <c r="F75" s="674"/>
      <c r="G75" s="674"/>
      <c r="H75" s="674"/>
      <c r="I75" s="674"/>
      <c r="J75" s="674"/>
      <c r="K75" s="674"/>
      <c r="L75" s="674"/>
      <c r="M75" s="674"/>
      <c r="N75" s="674"/>
      <c r="O75" s="674"/>
      <c r="P75" s="674"/>
    </row>
    <row r="76" spans="1:17">
      <c r="A76" s="669" t="s">
        <v>677</v>
      </c>
      <c r="B76" s="778">
        <f>-SUM(B75:E75)</f>
        <v>0</v>
      </c>
      <c r="D76" s="655"/>
      <c r="E76" s="655"/>
      <c r="F76" s="655"/>
      <c r="G76" s="655"/>
      <c r="H76" s="655"/>
      <c r="I76" s="655"/>
      <c r="J76" s="655"/>
      <c r="K76" s="655"/>
      <c r="L76" s="655"/>
      <c r="M76" s="655"/>
      <c r="N76" s="655"/>
      <c r="O76" s="655"/>
      <c r="P76" s="655"/>
      <c r="Q76" s="779"/>
    </row>
    <row r="77" spans="1:17">
      <c r="A77" s="669"/>
      <c r="C77" s="655"/>
      <c r="D77" s="655"/>
      <c r="E77" s="655"/>
      <c r="F77" s="655"/>
      <c r="G77" s="655"/>
      <c r="H77" s="655"/>
      <c r="I77" s="655"/>
      <c r="J77" s="655"/>
      <c r="K77" s="655"/>
      <c r="L77" s="655"/>
      <c r="M77" s="655"/>
      <c r="N77" s="655"/>
      <c r="O77" s="655"/>
      <c r="P77" s="655"/>
      <c r="Q77" s="655"/>
    </row>
    <row r="78" spans="1:17">
      <c r="A78" s="669" t="s">
        <v>678</v>
      </c>
      <c r="B78" s="780" t="e">
        <f>IRR(B76:Q76,0.12)</f>
        <v>#NUM!</v>
      </c>
      <c r="C78" s="655"/>
      <c r="D78" s="655"/>
      <c r="E78" s="655"/>
      <c r="F78" s="655"/>
      <c r="G78" s="655"/>
      <c r="H78" s="655"/>
      <c r="I78" s="655"/>
      <c r="J78" s="655"/>
      <c r="K78" s="655"/>
      <c r="L78" s="655"/>
      <c r="M78" s="655"/>
      <c r="N78" s="655"/>
      <c r="O78" s="655"/>
      <c r="P78" s="655"/>
      <c r="Q78" s="655"/>
    </row>
    <row r="79" spans="1:17">
      <c r="A79" s="669" t="s">
        <v>679</v>
      </c>
      <c r="B79" s="584" t="e">
        <f>B76/(SUM(C59:L59)*assumptions!E74)</f>
        <v>#DIV/0!</v>
      </c>
      <c r="C79" s="655"/>
      <c r="D79" s="655"/>
      <c r="E79" s="655"/>
      <c r="F79" s="655"/>
      <c r="G79" s="655"/>
      <c r="H79" s="655"/>
      <c r="I79" s="655"/>
      <c r="J79" s="655"/>
      <c r="K79" s="655"/>
      <c r="L79" s="655"/>
      <c r="M79" s="655"/>
      <c r="N79" s="655"/>
      <c r="O79" s="655"/>
      <c r="P79" s="655"/>
      <c r="Q79" s="655"/>
    </row>
    <row r="80" spans="1:17">
      <c r="A80" s="590"/>
      <c r="C80" s="655"/>
      <c r="D80" s="655"/>
      <c r="E80" s="655"/>
      <c r="F80" s="655"/>
      <c r="G80" s="655"/>
      <c r="H80" s="655"/>
      <c r="I80" s="655"/>
      <c r="J80" s="655"/>
      <c r="K80" s="655"/>
      <c r="L80" s="655"/>
      <c r="M80" s="655"/>
      <c r="N80" s="655"/>
      <c r="O80" s="655"/>
      <c r="P80" s="655"/>
      <c r="Q80" s="655"/>
    </row>
    <row r="81" spans="1:22">
      <c r="A81" s="781"/>
      <c r="B81" s="781"/>
      <c r="C81" s="781"/>
      <c r="D81" s="781"/>
      <c r="E81" s="781"/>
      <c r="F81" s="781"/>
      <c r="G81" s="781"/>
      <c r="H81" s="781"/>
      <c r="I81" s="781"/>
      <c r="J81" s="781"/>
      <c r="K81" s="781"/>
      <c r="L81" s="781"/>
      <c r="M81" s="781"/>
      <c r="N81" s="781"/>
      <c r="O81" s="781"/>
      <c r="P81" s="781"/>
      <c r="Q81" s="781"/>
      <c r="R81" s="781"/>
      <c r="S81" s="781"/>
      <c r="T81" s="781"/>
      <c r="U81" s="781"/>
      <c r="V81" s="781"/>
    </row>
  </sheetData>
  <sheetProtection algorithmName="SHA-512" hashValue="GfQeYTUsIbPISTo2zwfluanegff0v/c0rbUfBU6tYOW+SyV3x++bqFqA4bBtAmEczvdeLpo1Fb3KfSQhghwwJw==" saltValue="2uCjRXfF3dZdcuouJhT0UQ==" spinCount="100000" sheet="1" formatCells="0" formatColumns="0" formatRows="0"/>
  <phoneticPr fontId="0" type="noConversion"/>
  <pageMargins left="0.75" right="0.75" top="1" bottom="1" header="0.5" footer="0.5"/>
  <pageSetup scale="42" orientation="landscape" r:id="rId1"/>
  <headerFooter alignWithMargins="0">
    <oddFooter>&amp;L&amp;F
&amp;D&amp;T&amp;R&amp;"Times New Roman,Regular"&amp;8revision date:  8/6/2007</oddFooter>
  </headerFooter>
  <ignoredErrors>
    <ignoredError sqref="D28:AF28 E26:AF26 D27:AF27" formulaRange="1"/>
    <ignoredError sqref="B78:B79" evalError="1"/>
    <ignoredError sqref="B5" unlockedFormula="1"/>
  </ignoredError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O430"/>
  <sheetViews>
    <sheetView zoomScaleNormal="100" workbookViewId="0">
      <pane ySplit="1" topLeftCell="A2" activePane="bottomLeft" state="frozen"/>
      <selection pane="bottomLeft"/>
    </sheetView>
  </sheetViews>
  <sheetFormatPr defaultColWidth="8.75" defaultRowHeight="13.8" outlineLevelRow="2"/>
  <cols>
    <col min="1" max="1" width="25.75" style="584" customWidth="1"/>
    <col min="2" max="2" width="10.4140625" style="584" customWidth="1"/>
    <col min="3" max="16" width="9.4140625" style="584" bestFit="1" customWidth="1"/>
    <col min="17" max="16384" width="8.75" style="584"/>
  </cols>
  <sheetData>
    <row r="1" spans="1:41">
      <c r="A1" s="581" t="str">
        <f>assumptions!B2</f>
        <v>enter date</v>
      </c>
      <c r="B1" s="582" t="str">
        <f>assumptions!B1</f>
        <v>enter project name</v>
      </c>
      <c r="C1" s="583"/>
      <c r="D1" s="583"/>
    </row>
    <row r="3" spans="1:41" outlineLevel="1">
      <c r="A3" s="585" t="str">
        <f>assumptions!A21</f>
        <v>VHFA Tax Exempt Permanent Debt</v>
      </c>
    </row>
    <row r="4" spans="1:41" outlineLevel="1">
      <c r="A4" s="585"/>
    </row>
    <row r="5" spans="1:41" outlineLevel="1">
      <c r="A5" s="586" t="s">
        <v>680</v>
      </c>
      <c r="B5" s="584">
        <f>assumptions!B21</f>
        <v>0</v>
      </c>
    </row>
    <row r="6" spans="1:41" outlineLevel="1">
      <c r="A6" s="586" t="s">
        <v>681</v>
      </c>
      <c r="B6" s="587">
        <f>assumptions!D21</f>
        <v>0</v>
      </c>
    </row>
    <row r="7" spans="1:41" outlineLevel="1">
      <c r="A7" s="586" t="s">
        <v>682</v>
      </c>
      <c r="B7" s="584">
        <f>assumptions!E21</f>
        <v>0</v>
      </c>
    </row>
    <row r="8" spans="1:41" outlineLevel="1">
      <c r="A8" s="586" t="s">
        <v>683</v>
      </c>
      <c r="B8" s="584">
        <f>assumptions!F21</f>
        <v>0</v>
      </c>
    </row>
    <row r="9" spans="1:41" outlineLevel="1">
      <c r="A9" s="586" t="s">
        <v>684</v>
      </c>
      <c r="B9" s="584">
        <f>IF(B5=0,0,PMT(B6/12,B7*12,-B5))</f>
        <v>0</v>
      </c>
    </row>
    <row r="10" spans="1:41" outlineLevel="1">
      <c r="A10" s="586" t="s">
        <v>685</v>
      </c>
      <c r="B10" s="584">
        <f>B9*12</f>
        <v>0</v>
      </c>
    </row>
    <row r="11" spans="1:41" outlineLevel="1"/>
    <row r="12" spans="1:41" outlineLevel="1">
      <c r="A12" s="588" t="s">
        <v>686</v>
      </c>
      <c r="B12" s="589">
        <v>1</v>
      </c>
      <c r="C12" s="589">
        <f t="shared" ref="C12:R12" si="0">B12+1</f>
        <v>2</v>
      </c>
      <c r="D12" s="589">
        <f t="shared" si="0"/>
        <v>3</v>
      </c>
      <c r="E12" s="589">
        <f t="shared" si="0"/>
        <v>4</v>
      </c>
      <c r="F12" s="589">
        <f t="shared" si="0"/>
        <v>5</v>
      </c>
      <c r="G12" s="589">
        <f t="shared" si="0"/>
        <v>6</v>
      </c>
      <c r="H12" s="589">
        <f t="shared" si="0"/>
        <v>7</v>
      </c>
      <c r="I12" s="589">
        <f t="shared" si="0"/>
        <v>8</v>
      </c>
      <c r="J12" s="589">
        <f t="shared" si="0"/>
        <v>9</v>
      </c>
      <c r="K12" s="589">
        <f t="shared" si="0"/>
        <v>10</v>
      </c>
      <c r="L12" s="589">
        <f t="shared" si="0"/>
        <v>11</v>
      </c>
      <c r="M12" s="589">
        <f t="shared" si="0"/>
        <v>12</v>
      </c>
      <c r="N12" s="589">
        <f t="shared" si="0"/>
        <v>13</v>
      </c>
      <c r="O12" s="589">
        <f t="shared" si="0"/>
        <v>14</v>
      </c>
      <c r="P12" s="589">
        <f t="shared" si="0"/>
        <v>15</v>
      </c>
      <c r="Q12" s="589">
        <f t="shared" si="0"/>
        <v>16</v>
      </c>
      <c r="R12" s="589">
        <f t="shared" si="0"/>
        <v>17</v>
      </c>
      <c r="S12" s="589">
        <f t="shared" ref="S12:AE12" si="1">R12+1</f>
        <v>18</v>
      </c>
      <c r="T12" s="589">
        <f t="shared" si="1"/>
        <v>19</v>
      </c>
      <c r="U12" s="589">
        <f t="shared" si="1"/>
        <v>20</v>
      </c>
      <c r="V12" s="589">
        <f t="shared" si="1"/>
        <v>21</v>
      </c>
      <c r="W12" s="589">
        <f t="shared" si="1"/>
        <v>22</v>
      </c>
      <c r="X12" s="589">
        <f t="shared" si="1"/>
        <v>23</v>
      </c>
      <c r="Y12" s="589">
        <f t="shared" si="1"/>
        <v>24</v>
      </c>
      <c r="Z12" s="589">
        <f t="shared" si="1"/>
        <v>25</v>
      </c>
      <c r="AA12" s="589">
        <f t="shared" si="1"/>
        <v>26</v>
      </c>
      <c r="AB12" s="589">
        <f t="shared" si="1"/>
        <v>27</v>
      </c>
      <c r="AC12" s="589">
        <f t="shared" si="1"/>
        <v>28</v>
      </c>
      <c r="AD12" s="589">
        <f t="shared" si="1"/>
        <v>29</v>
      </c>
      <c r="AE12" s="589">
        <f t="shared" si="1"/>
        <v>30</v>
      </c>
      <c r="AF12" s="589">
        <f t="shared" ref="AF12:AO12" si="2">AE12+1</f>
        <v>31</v>
      </c>
      <c r="AG12" s="589">
        <f t="shared" si="2"/>
        <v>32</v>
      </c>
      <c r="AH12" s="589">
        <f t="shared" si="2"/>
        <v>33</v>
      </c>
      <c r="AI12" s="589">
        <f t="shared" si="2"/>
        <v>34</v>
      </c>
      <c r="AJ12" s="589">
        <f t="shared" si="2"/>
        <v>35</v>
      </c>
      <c r="AK12" s="589">
        <f t="shared" si="2"/>
        <v>36</v>
      </c>
      <c r="AL12" s="589">
        <f t="shared" si="2"/>
        <v>37</v>
      </c>
      <c r="AM12" s="589">
        <f t="shared" si="2"/>
        <v>38</v>
      </c>
      <c r="AN12" s="589">
        <f t="shared" si="2"/>
        <v>39</v>
      </c>
      <c r="AO12" s="589">
        <f t="shared" si="2"/>
        <v>40</v>
      </c>
    </row>
    <row r="13" spans="1:41" outlineLevel="1">
      <c r="A13" s="590" t="s">
        <v>687</v>
      </c>
      <c r="B13" s="584">
        <f>B5</f>
        <v>0</v>
      </c>
      <c r="C13" s="584">
        <f>B14</f>
        <v>0</v>
      </c>
      <c r="D13" s="584">
        <f t="shared" ref="D13:AE13" si="3">C14</f>
        <v>0</v>
      </c>
      <c r="E13" s="584">
        <f t="shared" si="3"/>
        <v>0</v>
      </c>
      <c r="F13" s="584">
        <f t="shared" si="3"/>
        <v>0</v>
      </c>
      <c r="G13" s="584">
        <f t="shared" si="3"/>
        <v>0</v>
      </c>
      <c r="H13" s="584">
        <f t="shared" si="3"/>
        <v>0</v>
      </c>
      <c r="I13" s="584">
        <f t="shared" si="3"/>
        <v>0</v>
      </c>
      <c r="J13" s="584">
        <f t="shared" si="3"/>
        <v>0</v>
      </c>
      <c r="K13" s="584">
        <f t="shared" si="3"/>
        <v>0</v>
      </c>
      <c r="L13" s="584">
        <f t="shared" si="3"/>
        <v>0</v>
      </c>
      <c r="M13" s="584">
        <f t="shared" si="3"/>
        <v>0</v>
      </c>
      <c r="N13" s="584">
        <f t="shared" si="3"/>
        <v>0</v>
      </c>
      <c r="O13" s="584">
        <f t="shared" si="3"/>
        <v>0</v>
      </c>
      <c r="P13" s="584">
        <f t="shared" si="3"/>
        <v>0</v>
      </c>
      <c r="Q13" s="584">
        <f t="shared" si="3"/>
        <v>0</v>
      </c>
      <c r="R13" s="584">
        <f t="shared" si="3"/>
        <v>0</v>
      </c>
      <c r="S13" s="584">
        <f t="shared" si="3"/>
        <v>0</v>
      </c>
      <c r="T13" s="584">
        <f t="shared" si="3"/>
        <v>0</v>
      </c>
      <c r="U13" s="584">
        <f t="shared" si="3"/>
        <v>0</v>
      </c>
      <c r="V13" s="584">
        <f t="shared" si="3"/>
        <v>0</v>
      </c>
      <c r="W13" s="584">
        <f t="shared" si="3"/>
        <v>0</v>
      </c>
      <c r="X13" s="584">
        <f t="shared" si="3"/>
        <v>0</v>
      </c>
      <c r="Y13" s="584">
        <f t="shared" si="3"/>
        <v>0</v>
      </c>
      <c r="Z13" s="584">
        <f t="shared" si="3"/>
        <v>0</v>
      </c>
      <c r="AA13" s="584">
        <f t="shared" si="3"/>
        <v>0</v>
      </c>
      <c r="AB13" s="584">
        <f t="shared" si="3"/>
        <v>0</v>
      </c>
      <c r="AC13" s="584">
        <f t="shared" si="3"/>
        <v>0</v>
      </c>
      <c r="AD13" s="584">
        <f t="shared" si="3"/>
        <v>0</v>
      </c>
      <c r="AE13" s="584">
        <f t="shared" si="3"/>
        <v>0</v>
      </c>
      <c r="AF13" s="584">
        <f t="shared" ref="AF13:AO13" si="4">AE14</f>
        <v>0</v>
      </c>
      <c r="AG13" s="584">
        <f t="shared" si="4"/>
        <v>0</v>
      </c>
      <c r="AH13" s="584">
        <f t="shared" si="4"/>
        <v>0</v>
      </c>
      <c r="AI13" s="584">
        <f t="shared" si="4"/>
        <v>0</v>
      </c>
      <c r="AJ13" s="584">
        <f t="shared" si="4"/>
        <v>0</v>
      </c>
      <c r="AK13" s="584">
        <f t="shared" si="4"/>
        <v>0</v>
      </c>
      <c r="AL13" s="584">
        <f t="shared" si="4"/>
        <v>0</v>
      </c>
      <c r="AM13" s="584">
        <f t="shared" si="4"/>
        <v>0</v>
      </c>
      <c r="AN13" s="584">
        <f t="shared" si="4"/>
        <v>0</v>
      </c>
      <c r="AO13" s="584">
        <f t="shared" si="4"/>
        <v>0</v>
      </c>
    </row>
    <row r="14" spans="1:41" outlineLevel="1">
      <c r="A14" s="590" t="s">
        <v>688</v>
      </c>
      <c r="B14" s="584">
        <f>PV($B$6/12,12*($B$7-B$12),-$B$9)</f>
        <v>0</v>
      </c>
      <c r="C14" s="584">
        <f>IF($B$8&lt;=C12,0,PV($B$6/12,12*($B$7-C$12),-$B$9))</f>
        <v>0</v>
      </c>
      <c r="D14" s="584">
        <f>IF($B$8&lt;=D12,0,PV($B$6/12,12*($B$7-D$12),-$B$9))</f>
        <v>0</v>
      </c>
      <c r="E14" s="584">
        <f>IF($B$8&lt;=E12,0,PV($B$6/12,12*($B$7-E$12),-$B$9))</f>
        <v>0</v>
      </c>
      <c r="F14" s="584">
        <f>IF($B$8&lt;=F12,0,PV($B$6/12,12*($B$7-F$12),-$B$9))</f>
        <v>0</v>
      </c>
      <c r="G14" s="584">
        <f t="shared" ref="G14:AO14" si="5">IF($B$8&lt;=G12,0,PV($B$6/12,12*($B$7-G$12),-$B$9))</f>
        <v>0</v>
      </c>
      <c r="H14" s="584">
        <f t="shared" si="5"/>
        <v>0</v>
      </c>
      <c r="I14" s="584">
        <f t="shared" si="5"/>
        <v>0</v>
      </c>
      <c r="J14" s="584">
        <f t="shared" si="5"/>
        <v>0</v>
      </c>
      <c r="K14" s="584">
        <f t="shared" si="5"/>
        <v>0</v>
      </c>
      <c r="L14" s="584">
        <f t="shared" si="5"/>
        <v>0</v>
      </c>
      <c r="M14" s="584">
        <f t="shared" si="5"/>
        <v>0</v>
      </c>
      <c r="N14" s="584">
        <f t="shared" si="5"/>
        <v>0</v>
      </c>
      <c r="O14" s="584">
        <f t="shared" si="5"/>
        <v>0</v>
      </c>
      <c r="P14" s="584">
        <f t="shared" si="5"/>
        <v>0</v>
      </c>
      <c r="Q14" s="584">
        <f t="shared" si="5"/>
        <v>0</v>
      </c>
      <c r="R14" s="584">
        <f t="shared" si="5"/>
        <v>0</v>
      </c>
      <c r="S14" s="584">
        <f t="shared" si="5"/>
        <v>0</v>
      </c>
      <c r="T14" s="584">
        <f t="shared" si="5"/>
        <v>0</v>
      </c>
      <c r="U14" s="584">
        <f t="shared" si="5"/>
        <v>0</v>
      </c>
      <c r="V14" s="584">
        <f t="shared" si="5"/>
        <v>0</v>
      </c>
      <c r="W14" s="584">
        <f t="shared" si="5"/>
        <v>0</v>
      </c>
      <c r="X14" s="584">
        <f t="shared" si="5"/>
        <v>0</v>
      </c>
      <c r="Y14" s="584">
        <f t="shared" si="5"/>
        <v>0</v>
      </c>
      <c r="Z14" s="584">
        <f t="shared" si="5"/>
        <v>0</v>
      </c>
      <c r="AA14" s="584">
        <f t="shared" si="5"/>
        <v>0</v>
      </c>
      <c r="AB14" s="584">
        <f t="shared" si="5"/>
        <v>0</v>
      </c>
      <c r="AC14" s="584">
        <f t="shared" si="5"/>
        <v>0</v>
      </c>
      <c r="AD14" s="584">
        <f t="shared" si="5"/>
        <v>0</v>
      </c>
      <c r="AE14" s="584">
        <f t="shared" si="5"/>
        <v>0</v>
      </c>
      <c r="AF14" s="584">
        <f t="shared" si="5"/>
        <v>0</v>
      </c>
      <c r="AG14" s="584">
        <f t="shared" si="5"/>
        <v>0</v>
      </c>
      <c r="AH14" s="584">
        <f t="shared" si="5"/>
        <v>0</v>
      </c>
      <c r="AI14" s="584">
        <f t="shared" si="5"/>
        <v>0</v>
      </c>
      <c r="AJ14" s="584">
        <f t="shared" si="5"/>
        <v>0</v>
      </c>
      <c r="AK14" s="584">
        <f t="shared" si="5"/>
        <v>0</v>
      </c>
      <c r="AL14" s="584">
        <f t="shared" si="5"/>
        <v>0</v>
      </c>
      <c r="AM14" s="584">
        <f t="shared" si="5"/>
        <v>0</v>
      </c>
      <c r="AN14" s="584">
        <f t="shared" si="5"/>
        <v>0</v>
      </c>
      <c r="AO14" s="584">
        <f t="shared" si="5"/>
        <v>0</v>
      </c>
    </row>
    <row r="15" spans="1:41" outlineLevel="1">
      <c r="A15" s="590" t="s">
        <v>680</v>
      </c>
      <c r="B15" s="584">
        <f>B13-B14</f>
        <v>0</v>
      </c>
      <c r="C15" s="584">
        <f>IF($B$8&lt;=C12,C13,C13-PV($B$6/12,12*($B$7-C$12),-$B$9))</f>
        <v>0</v>
      </c>
      <c r="D15" s="584">
        <f>IF($B$8&lt;=D12,D13,D13-PV($B$6/12,12*($B$7-D$12),-$B$9))</f>
        <v>0</v>
      </c>
      <c r="E15" s="584">
        <f t="shared" ref="E15:AO15" si="6">IF($B$8&lt;=E12,E13,E13-PV($B$6/12,12*($B$7-E$12),-$B$9))</f>
        <v>0</v>
      </c>
      <c r="F15" s="584">
        <f t="shared" si="6"/>
        <v>0</v>
      </c>
      <c r="G15" s="584">
        <f t="shared" si="6"/>
        <v>0</v>
      </c>
      <c r="H15" s="584">
        <f t="shared" si="6"/>
        <v>0</v>
      </c>
      <c r="I15" s="584">
        <f t="shared" si="6"/>
        <v>0</v>
      </c>
      <c r="J15" s="584">
        <f t="shared" si="6"/>
        <v>0</v>
      </c>
      <c r="K15" s="584">
        <f t="shared" si="6"/>
        <v>0</v>
      </c>
      <c r="L15" s="584">
        <f t="shared" si="6"/>
        <v>0</v>
      </c>
      <c r="M15" s="584">
        <f t="shared" si="6"/>
        <v>0</v>
      </c>
      <c r="N15" s="584">
        <f t="shared" si="6"/>
        <v>0</v>
      </c>
      <c r="O15" s="584">
        <f t="shared" si="6"/>
        <v>0</v>
      </c>
      <c r="P15" s="584">
        <f t="shared" si="6"/>
        <v>0</v>
      </c>
      <c r="Q15" s="584">
        <f t="shared" si="6"/>
        <v>0</v>
      </c>
      <c r="R15" s="584">
        <f t="shared" si="6"/>
        <v>0</v>
      </c>
      <c r="S15" s="584">
        <f t="shared" si="6"/>
        <v>0</v>
      </c>
      <c r="T15" s="584">
        <f t="shared" si="6"/>
        <v>0</v>
      </c>
      <c r="U15" s="584">
        <f t="shared" si="6"/>
        <v>0</v>
      </c>
      <c r="V15" s="584">
        <f t="shared" si="6"/>
        <v>0</v>
      </c>
      <c r="W15" s="584">
        <f t="shared" si="6"/>
        <v>0</v>
      </c>
      <c r="X15" s="584">
        <f t="shared" si="6"/>
        <v>0</v>
      </c>
      <c r="Y15" s="584">
        <f t="shared" si="6"/>
        <v>0</v>
      </c>
      <c r="Z15" s="584">
        <f t="shared" si="6"/>
        <v>0</v>
      </c>
      <c r="AA15" s="584">
        <f t="shared" si="6"/>
        <v>0</v>
      </c>
      <c r="AB15" s="584">
        <f t="shared" si="6"/>
        <v>0</v>
      </c>
      <c r="AC15" s="584">
        <f t="shared" si="6"/>
        <v>0</v>
      </c>
      <c r="AD15" s="584">
        <f t="shared" si="6"/>
        <v>0</v>
      </c>
      <c r="AE15" s="584">
        <f t="shared" si="6"/>
        <v>0</v>
      </c>
      <c r="AF15" s="584">
        <f t="shared" si="6"/>
        <v>0</v>
      </c>
      <c r="AG15" s="584">
        <f t="shared" si="6"/>
        <v>0</v>
      </c>
      <c r="AH15" s="584">
        <f t="shared" si="6"/>
        <v>0</v>
      </c>
      <c r="AI15" s="584">
        <f t="shared" si="6"/>
        <v>0</v>
      </c>
      <c r="AJ15" s="584">
        <f t="shared" si="6"/>
        <v>0</v>
      </c>
      <c r="AK15" s="584">
        <f t="shared" si="6"/>
        <v>0</v>
      </c>
      <c r="AL15" s="584">
        <f t="shared" si="6"/>
        <v>0</v>
      </c>
      <c r="AM15" s="584">
        <f t="shared" si="6"/>
        <v>0</v>
      </c>
      <c r="AN15" s="584">
        <f t="shared" si="6"/>
        <v>0</v>
      </c>
      <c r="AO15" s="584">
        <f t="shared" si="6"/>
        <v>0</v>
      </c>
    </row>
    <row r="16" spans="1:41" outlineLevel="1">
      <c r="A16" s="590" t="s">
        <v>681</v>
      </c>
      <c r="B16" s="584">
        <f>$B$10-B15</f>
        <v>0</v>
      </c>
      <c r="C16" s="584">
        <f>IF($B$8&gt;=C12,$B$10-(C13-PV($B$6/12,12*($B$7-C$12),-$B$9)),0)</f>
        <v>0</v>
      </c>
      <c r="D16" s="584">
        <f>IF($B$8&gt;=D12,$B$10-(D13-PV($B$6/12,12*($B$7-D$12),-$B$9)),0)</f>
        <v>0</v>
      </c>
      <c r="E16" s="584">
        <f t="shared" ref="E16:AO16" si="7">IF($B$8&gt;=E12,$B$10-(E13-PV($B$6/12,12*($B$7-E$12),-$B$9)),0)</f>
        <v>0</v>
      </c>
      <c r="F16" s="584">
        <f t="shared" si="7"/>
        <v>0</v>
      </c>
      <c r="G16" s="584">
        <f t="shared" si="7"/>
        <v>0</v>
      </c>
      <c r="H16" s="584">
        <f t="shared" si="7"/>
        <v>0</v>
      </c>
      <c r="I16" s="584">
        <f t="shared" si="7"/>
        <v>0</v>
      </c>
      <c r="J16" s="584">
        <f t="shared" si="7"/>
        <v>0</v>
      </c>
      <c r="K16" s="584">
        <f t="shared" si="7"/>
        <v>0</v>
      </c>
      <c r="L16" s="584">
        <f t="shared" si="7"/>
        <v>0</v>
      </c>
      <c r="M16" s="584">
        <f t="shared" si="7"/>
        <v>0</v>
      </c>
      <c r="N16" s="584">
        <f t="shared" si="7"/>
        <v>0</v>
      </c>
      <c r="O16" s="584">
        <f t="shared" si="7"/>
        <v>0</v>
      </c>
      <c r="P16" s="584">
        <f t="shared" si="7"/>
        <v>0</v>
      </c>
      <c r="Q16" s="584">
        <f t="shared" si="7"/>
        <v>0</v>
      </c>
      <c r="R16" s="584">
        <f t="shared" si="7"/>
        <v>0</v>
      </c>
      <c r="S16" s="584">
        <f t="shared" si="7"/>
        <v>0</v>
      </c>
      <c r="T16" s="584">
        <f t="shared" si="7"/>
        <v>0</v>
      </c>
      <c r="U16" s="584">
        <f t="shared" si="7"/>
        <v>0</v>
      </c>
      <c r="V16" s="584">
        <f t="shared" si="7"/>
        <v>0</v>
      </c>
      <c r="W16" s="584">
        <f t="shared" si="7"/>
        <v>0</v>
      </c>
      <c r="X16" s="584">
        <f t="shared" si="7"/>
        <v>0</v>
      </c>
      <c r="Y16" s="584">
        <f t="shared" si="7"/>
        <v>0</v>
      </c>
      <c r="Z16" s="584">
        <f t="shared" si="7"/>
        <v>0</v>
      </c>
      <c r="AA16" s="584">
        <f t="shared" si="7"/>
        <v>0</v>
      </c>
      <c r="AB16" s="584">
        <f t="shared" si="7"/>
        <v>0</v>
      </c>
      <c r="AC16" s="584">
        <f t="shared" si="7"/>
        <v>0</v>
      </c>
      <c r="AD16" s="584">
        <f t="shared" si="7"/>
        <v>0</v>
      </c>
      <c r="AE16" s="584">
        <f t="shared" si="7"/>
        <v>0</v>
      </c>
      <c r="AF16" s="584">
        <f t="shared" si="7"/>
        <v>0</v>
      </c>
      <c r="AG16" s="584">
        <f t="shared" si="7"/>
        <v>0</v>
      </c>
      <c r="AH16" s="584">
        <f t="shared" si="7"/>
        <v>0</v>
      </c>
      <c r="AI16" s="584">
        <f t="shared" si="7"/>
        <v>0</v>
      </c>
      <c r="AJ16" s="584">
        <f t="shared" si="7"/>
        <v>0</v>
      </c>
      <c r="AK16" s="584">
        <f t="shared" si="7"/>
        <v>0</v>
      </c>
      <c r="AL16" s="584">
        <f t="shared" si="7"/>
        <v>0</v>
      </c>
      <c r="AM16" s="584">
        <f t="shared" si="7"/>
        <v>0</v>
      </c>
      <c r="AN16" s="584">
        <f t="shared" si="7"/>
        <v>0</v>
      </c>
      <c r="AO16" s="584">
        <f t="shared" si="7"/>
        <v>0</v>
      </c>
    </row>
    <row r="17" spans="1:41" outlineLevel="1">
      <c r="A17" s="590" t="s">
        <v>689</v>
      </c>
      <c r="B17" s="584">
        <f>B15+B16</f>
        <v>0</v>
      </c>
      <c r="C17" s="584">
        <f>C15+C16</f>
        <v>0</v>
      </c>
      <c r="D17" s="584">
        <f t="shared" ref="D17:R17" si="8">D15+D16</f>
        <v>0</v>
      </c>
      <c r="E17" s="584">
        <f t="shared" si="8"/>
        <v>0</v>
      </c>
      <c r="F17" s="584">
        <f t="shared" si="8"/>
        <v>0</v>
      </c>
      <c r="G17" s="584">
        <f t="shared" si="8"/>
        <v>0</v>
      </c>
      <c r="H17" s="584">
        <f t="shared" si="8"/>
        <v>0</v>
      </c>
      <c r="I17" s="584">
        <f t="shared" si="8"/>
        <v>0</v>
      </c>
      <c r="J17" s="584">
        <f t="shared" si="8"/>
        <v>0</v>
      </c>
      <c r="K17" s="584">
        <f t="shared" si="8"/>
        <v>0</v>
      </c>
      <c r="L17" s="584">
        <f t="shared" si="8"/>
        <v>0</v>
      </c>
      <c r="M17" s="584">
        <f t="shared" si="8"/>
        <v>0</v>
      </c>
      <c r="N17" s="584">
        <f t="shared" si="8"/>
        <v>0</v>
      </c>
      <c r="O17" s="584">
        <f t="shared" si="8"/>
        <v>0</v>
      </c>
      <c r="P17" s="584">
        <f t="shared" si="8"/>
        <v>0</v>
      </c>
      <c r="Q17" s="584">
        <f t="shared" si="8"/>
        <v>0</v>
      </c>
      <c r="R17" s="584">
        <f t="shared" si="8"/>
        <v>0</v>
      </c>
      <c r="S17" s="584">
        <f t="shared" ref="S17:AE17" si="9">S15+S16</f>
        <v>0</v>
      </c>
      <c r="T17" s="584">
        <f t="shared" si="9"/>
        <v>0</v>
      </c>
      <c r="U17" s="584">
        <f t="shared" si="9"/>
        <v>0</v>
      </c>
      <c r="V17" s="584">
        <f t="shared" si="9"/>
        <v>0</v>
      </c>
      <c r="W17" s="584">
        <f t="shared" si="9"/>
        <v>0</v>
      </c>
      <c r="X17" s="584">
        <f t="shared" si="9"/>
        <v>0</v>
      </c>
      <c r="Y17" s="584">
        <f t="shared" si="9"/>
        <v>0</v>
      </c>
      <c r="Z17" s="584">
        <f t="shared" si="9"/>
        <v>0</v>
      </c>
      <c r="AA17" s="584">
        <f t="shared" si="9"/>
        <v>0</v>
      </c>
      <c r="AB17" s="584">
        <f t="shared" si="9"/>
        <v>0</v>
      </c>
      <c r="AC17" s="584">
        <f t="shared" si="9"/>
        <v>0</v>
      </c>
      <c r="AD17" s="584">
        <f t="shared" si="9"/>
        <v>0</v>
      </c>
      <c r="AE17" s="584">
        <f t="shared" si="9"/>
        <v>0</v>
      </c>
      <c r="AF17" s="584">
        <f t="shared" ref="AF17:AO17" si="10">AF15+AF16</f>
        <v>0</v>
      </c>
      <c r="AG17" s="584">
        <f t="shared" si="10"/>
        <v>0</v>
      </c>
      <c r="AH17" s="584">
        <f t="shared" si="10"/>
        <v>0</v>
      </c>
      <c r="AI17" s="584">
        <f t="shared" si="10"/>
        <v>0</v>
      </c>
      <c r="AJ17" s="584">
        <f t="shared" si="10"/>
        <v>0</v>
      </c>
      <c r="AK17" s="584">
        <f t="shared" si="10"/>
        <v>0</v>
      </c>
      <c r="AL17" s="584">
        <f t="shared" si="10"/>
        <v>0</v>
      </c>
      <c r="AM17" s="584">
        <f t="shared" si="10"/>
        <v>0</v>
      </c>
      <c r="AN17" s="584">
        <f t="shared" si="10"/>
        <v>0</v>
      </c>
      <c r="AO17" s="584">
        <f t="shared" si="10"/>
        <v>0</v>
      </c>
    </row>
    <row r="18" spans="1:41" outlineLevel="1">
      <c r="A18" s="590"/>
    </row>
    <row r="19" spans="1:41" outlineLevel="1">
      <c r="A19" s="585" t="str">
        <f>assumptions!A22</f>
        <v>VHFA Taxable Permanent Debt</v>
      </c>
    </row>
    <row r="20" spans="1:41" outlineLevel="1">
      <c r="A20" s="585"/>
    </row>
    <row r="21" spans="1:41" outlineLevel="1">
      <c r="A21" s="586" t="s">
        <v>680</v>
      </c>
      <c r="B21" s="584">
        <f>assumptions!B22</f>
        <v>0</v>
      </c>
    </row>
    <row r="22" spans="1:41" outlineLevel="1">
      <c r="A22" s="586" t="s">
        <v>681</v>
      </c>
      <c r="B22" s="587">
        <f>assumptions!D22</f>
        <v>0</v>
      </c>
    </row>
    <row r="23" spans="1:41" outlineLevel="1">
      <c r="A23" s="586" t="s">
        <v>682</v>
      </c>
      <c r="B23" s="584">
        <f>assumptions!E22</f>
        <v>0</v>
      </c>
    </row>
    <row r="24" spans="1:41" outlineLevel="1">
      <c r="A24" s="586" t="s">
        <v>683</v>
      </c>
      <c r="B24" s="584">
        <f>assumptions!F22</f>
        <v>0</v>
      </c>
    </row>
    <row r="25" spans="1:41" outlineLevel="1">
      <c r="A25" s="586" t="s">
        <v>684</v>
      </c>
      <c r="B25" s="584">
        <f>IF(B21=0,0,PMT(B22/12,B23*12,-B21))</f>
        <v>0</v>
      </c>
    </row>
    <row r="26" spans="1:41" outlineLevel="1">
      <c r="A26" s="586" t="s">
        <v>685</v>
      </c>
      <c r="B26" s="584">
        <f>B25*12</f>
        <v>0</v>
      </c>
    </row>
    <row r="27" spans="1:41" outlineLevel="1"/>
    <row r="28" spans="1:41" outlineLevel="1">
      <c r="A28" s="588" t="s">
        <v>686</v>
      </c>
      <c r="B28" s="589">
        <v>1</v>
      </c>
      <c r="C28" s="589">
        <f t="shared" ref="C28" si="11">B28+1</f>
        <v>2</v>
      </c>
      <c r="D28" s="589">
        <f t="shared" ref="D28" si="12">C28+1</f>
        <v>3</v>
      </c>
      <c r="E28" s="589">
        <f t="shared" ref="E28" si="13">D28+1</f>
        <v>4</v>
      </c>
      <c r="F28" s="589">
        <f t="shared" ref="F28" si="14">E28+1</f>
        <v>5</v>
      </c>
      <c r="G28" s="589">
        <f t="shared" ref="G28" si="15">F28+1</f>
        <v>6</v>
      </c>
      <c r="H28" s="589">
        <f t="shared" ref="H28" si="16">G28+1</f>
        <v>7</v>
      </c>
      <c r="I28" s="589">
        <f t="shared" ref="I28" si="17">H28+1</f>
        <v>8</v>
      </c>
      <c r="J28" s="589">
        <f t="shared" ref="J28" si="18">I28+1</f>
        <v>9</v>
      </c>
      <c r="K28" s="589">
        <f t="shared" ref="K28" si="19">J28+1</f>
        <v>10</v>
      </c>
      <c r="L28" s="589">
        <f t="shared" ref="L28" si="20">K28+1</f>
        <v>11</v>
      </c>
      <c r="M28" s="589">
        <f t="shared" ref="M28" si="21">L28+1</f>
        <v>12</v>
      </c>
      <c r="N28" s="589">
        <f t="shared" ref="N28" si="22">M28+1</f>
        <v>13</v>
      </c>
      <c r="O28" s="589">
        <f t="shared" ref="O28" si="23">N28+1</f>
        <v>14</v>
      </c>
      <c r="P28" s="589">
        <f t="shared" ref="P28" si="24">O28+1</f>
        <v>15</v>
      </c>
      <c r="Q28" s="589">
        <f t="shared" ref="Q28" si="25">P28+1</f>
        <v>16</v>
      </c>
      <c r="R28" s="589">
        <f t="shared" ref="R28" si="26">Q28+1</f>
        <v>17</v>
      </c>
      <c r="S28" s="589">
        <f t="shared" ref="S28" si="27">R28+1</f>
        <v>18</v>
      </c>
      <c r="T28" s="589">
        <f t="shared" ref="T28" si="28">S28+1</f>
        <v>19</v>
      </c>
      <c r="U28" s="589">
        <f t="shared" ref="U28" si="29">T28+1</f>
        <v>20</v>
      </c>
      <c r="V28" s="589">
        <f t="shared" ref="V28" si="30">U28+1</f>
        <v>21</v>
      </c>
      <c r="W28" s="589">
        <f t="shared" ref="W28" si="31">V28+1</f>
        <v>22</v>
      </c>
      <c r="X28" s="589">
        <f t="shared" ref="X28" si="32">W28+1</f>
        <v>23</v>
      </c>
      <c r="Y28" s="589">
        <f t="shared" ref="Y28" si="33">X28+1</f>
        <v>24</v>
      </c>
      <c r="Z28" s="589">
        <f t="shared" ref="Z28" si="34">Y28+1</f>
        <v>25</v>
      </c>
      <c r="AA28" s="589">
        <f t="shared" ref="AA28" si="35">Z28+1</f>
        <v>26</v>
      </c>
      <c r="AB28" s="589">
        <f t="shared" ref="AB28" si="36">AA28+1</f>
        <v>27</v>
      </c>
      <c r="AC28" s="589">
        <f t="shared" ref="AC28" si="37">AB28+1</f>
        <v>28</v>
      </c>
      <c r="AD28" s="589">
        <f t="shared" ref="AD28" si="38">AC28+1</f>
        <v>29</v>
      </c>
      <c r="AE28" s="589">
        <f t="shared" ref="AE28" si="39">AD28+1</f>
        <v>30</v>
      </c>
      <c r="AF28" s="589">
        <f t="shared" ref="AF28" si="40">AE28+1</f>
        <v>31</v>
      </c>
      <c r="AG28" s="589">
        <f t="shared" ref="AG28" si="41">AF28+1</f>
        <v>32</v>
      </c>
      <c r="AH28" s="589">
        <f t="shared" ref="AH28" si="42">AG28+1</f>
        <v>33</v>
      </c>
      <c r="AI28" s="589">
        <f t="shared" ref="AI28" si="43">AH28+1</f>
        <v>34</v>
      </c>
      <c r="AJ28" s="589">
        <f t="shared" ref="AJ28" si="44">AI28+1</f>
        <v>35</v>
      </c>
      <c r="AK28" s="589">
        <f t="shared" ref="AK28" si="45">AJ28+1</f>
        <v>36</v>
      </c>
      <c r="AL28" s="589">
        <f t="shared" ref="AL28" si="46">AK28+1</f>
        <v>37</v>
      </c>
      <c r="AM28" s="589">
        <f t="shared" ref="AM28" si="47">AL28+1</f>
        <v>38</v>
      </c>
      <c r="AN28" s="589">
        <f t="shared" ref="AN28" si="48">AM28+1</f>
        <v>39</v>
      </c>
      <c r="AO28" s="589">
        <f t="shared" ref="AO28" si="49">AN28+1</f>
        <v>40</v>
      </c>
    </row>
    <row r="29" spans="1:41" outlineLevel="1">
      <c r="A29" s="590" t="s">
        <v>687</v>
      </c>
      <c r="B29" s="584">
        <f>B21</f>
        <v>0</v>
      </c>
      <c r="C29" s="584">
        <f>B30</f>
        <v>0</v>
      </c>
      <c r="D29" s="584">
        <f>C30</f>
        <v>0</v>
      </c>
      <c r="E29" s="584">
        <f t="shared" ref="E29" si="50">D30</f>
        <v>0</v>
      </c>
      <c r="F29" s="584">
        <f t="shared" ref="F29" si="51">E30</f>
        <v>0</v>
      </c>
      <c r="G29" s="584">
        <f t="shared" ref="G29" si="52">F30</f>
        <v>0</v>
      </c>
      <c r="H29" s="584">
        <f t="shared" ref="H29" si="53">G30</f>
        <v>0</v>
      </c>
      <c r="I29" s="584">
        <f t="shared" ref="I29" si="54">H30</f>
        <v>0</v>
      </c>
      <c r="J29" s="584">
        <f t="shared" ref="J29" si="55">I30</f>
        <v>0</v>
      </c>
      <c r="K29" s="584">
        <f t="shared" ref="K29" si="56">J30</f>
        <v>0</v>
      </c>
      <c r="L29" s="584">
        <f t="shared" ref="L29" si="57">K30</f>
        <v>0</v>
      </c>
      <c r="M29" s="584">
        <f t="shared" ref="M29" si="58">L30</f>
        <v>0</v>
      </c>
      <c r="N29" s="584">
        <f t="shared" ref="N29" si="59">M30</f>
        <v>0</v>
      </c>
      <c r="O29" s="584">
        <f t="shared" ref="O29" si="60">N30</f>
        <v>0</v>
      </c>
      <c r="P29" s="584">
        <f t="shared" ref="P29" si="61">O30</f>
        <v>0</v>
      </c>
      <c r="Q29" s="584">
        <f t="shared" ref="Q29" si="62">P30</f>
        <v>0</v>
      </c>
      <c r="R29" s="584">
        <f t="shared" ref="R29" si="63">Q30</f>
        <v>0</v>
      </c>
      <c r="S29" s="584">
        <f t="shared" ref="S29" si="64">R30</f>
        <v>0</v>
      </c>
      <c r="T29" s="584">
        <f t="shared" ref="T29" si="65">S30</f>
        <v>0</v>
      </c>
      <c r="U29" s="584">
        <f t="shared" ref="U29" si="66">T30</f>
        <v>0</v>
      </c>
      <c r="V29" s="584">
        <f t="shared" ref="V29" si="67">U30</f>
        <v>0</v>
      </c>
      <c r="W29" s="584">
        <f t="shared" ref="W29" si="68">V30</f>
        <v>0</v>
      </c>
      <c r="X29" s="584">
        <f t="shared" ref="X29" si="69">W30</f>
        <v>0</v>
      </c>
      <c r="Y29" s="584">
        <f t="shared" ref="Y29" si="70">X30</f>
        <v>0</v>
      </c>
      <c r="Z29" s="584">
        <f t="shared" ref="Z29" si="71">Y30</f>
        <v>0</v>
      </c>
      <c r="AA29" s="584">
        <f t="shared" ref="AA29" si="72">Z30</f>
        <v>0</v>
      </c>
      <c r="AB29" s="584">
        <f t="shared" ref="AB29" si="73">AA30</f>
        <v>0</v>
      </c>
      <c r="AC29" s="584">
        <f t="shared" ref="AC29" si="74">AB30</f>
        <v>0</v>
      </c>
      <c r="AD29" s="584">
        <f t="shared" ref="AD29" si="75">AC30</f>
        <v>0</v>
      </c>
      <c r="AE29" s="584">
        <f t="shared" ref="AE29" si="76">AD30</f>
        <v>0</v>
      </c>
      <c r="AF29" s="584">
        <f t="shared" ref="AF29" si="77">AE30</f>
        <v>0</v>
      </c>
      <c r="AG29" s="584">
        <f t="shared" ref="AG29" si="78">AF30</f>
        <v>0</v>
      </c>
      <c r="AH29" s="584">
        <f t="shared" ref="AH29" si="79">AG30</f>
        <v>0</v>
      </c>
      <c r="AI29" s="584">
        <f t="shared" ref="AI29" si="80">AH30</f>
        <v>0</v>
      </c>
      <c r="AJ29" s="584">
        <f t="shared" ref="AJ29" si="81">AI30</f>
        <v>0</v>
      </c>
      <c r="AK29" s="584">
        <f t="shared" ref="AK29" si="82">AJ30</f>
        <v>0</v>
      </c>
      <c r="AL29" s="584">
        <f t="shared" ref="AL29" si="83">AK30</f>
        <v>0</v>
      </c>
      <c r="AM29" s="584">
        <f t="shared" ref="AM29" si="84">AL30</f>
        <v>0</v>
      </c>
      <c r="AN29" s="584">
        <f t="shared" ref="AN29" si="85">AM30</f>
        <v>0</v>
      </c>
      <c r="AO29" s="584">
        <f t="shared" ref="AO29" si="86">AN30</f>
        <v>0</v>
      </c>
    </row>
    <row r="30" spans="1:41" outlineLevel="1">
      <c r="A30" s="590" t="s">
        <v>688</v>
      </c>
      <c r="B30" s="584">
        <f>PV($B$22/12,12*($B$23-B$28),-$B$25)</f>
        <v>0</v>
      </c>
      <c r="C30" s="584">
        <f>IF($B$24&lt;=C28,0,PV($B$22/12,12*($B$23-C$28),-$B$25))</f>
        <v>0</v>
      </c>
      <c r="D30" s="584">
        <f>IF($B$24&lt;=D28,0,PV($B$22/12,12*($B$23-D$28),-$B$25))</f>
        <v>0</v>
      </c>
      <c r="E30" s="584">
        <f>IF($B$24&lt;=E28,0,PV($B$22/12,12*($B$23-E$28),-$B$25))</f>
        <v>0</v>
      </c>
      <c r="F30" s="584">
        <f t="shared" ref="F30:AO30" si="87">IF($B$24&lt;=F28,0,PV($B$22/12,12*($B$23-F$28),-$B$25))</f>
        <v>0</v>
      </c>
      <c r="G30" s="584">
        <f t="shared" si="87"/>
        <v>0</v>
      </c>
      <c r="H30" s="584">
        <f t="shared" si="87"/>
        <v>0</v>
      </c>
      <c r="I30" s="584">
        <f t="shared" si="87"/>
        <v>0</v>
      </c>
      <c r="J30" s="584">
        <f t="shared" si="87"/>
        <v>0</v>
      </c>
      <c r="K30" s="584">
        <f t="shared" si="87"/>
        <v>0</v>
      </c>
      <c r="L30" s="584">
        <f t="shared" si="87"/>
        <v>0</v>
      </c>
      <c r="M30" s="584">
        <f t="shared" si="87"/>
        <v>0</v>
      </c>
      <c r="N30" s="584">
        <f t="shared" si="87"/>
        <v>0</v>
      </c>
      <c r="O30" s="584">
        <f t="shared" si="87"/>
        <v>0</v>
      </c>
      <c r="P30" s="584">
        <f t="shared" si="87"/>
        <v>0</v>
      </c>
      <c r="Q30" s="584">
        <f t="shared" si="87"/>
        <v>0</v>
      </c>
      <c r="R30" s="584">
        <f t="shared" si="87"/>
        <v>0</v>
      </c>
      <c r="S30" s="584">
        <f t="shared" si="87"/>
        <v>0</v>
      </c>
      <c r="T30" s="584">
        <f t="shared" si="87"/>
        <v>0</v>
      </c>
      <c r="U30" s="584">
        <f t="shared" si="87"/>
        <v>0</v>
      </c>
      <c r="V30" s="584">
        <f t="shared" si="87"/>
        <v>0</v>
      </c>
      <c r="W30" s="584">
        <f t="shared" si="87"/>
        <v>0</v>
      </c>
      <c r="X30" s="584">
        <f t="shared" si="87"/>
        <v>0</v>
      </c>
      <c r="Y30" s="584">
        <f t="shared" si="87"/>
        <v>0</v>
      </c>
      <c r="Z30" s="584">
        <f t="shared" si="87"/>
        <v>0</v>
      </c>
      <c r="AA30" s="584">
        <f t="shared" si="87"/>
        <v>0</v>
      </c>
      <c r="AB30" s="584">
        <f t="shared" si="87"/>
        <v>0</v>
      </c>
      <c r="AC30" s="584">
        <f t="shared" si="87"/>
        <v>0</v>
      </c>
      <c r="AD30" s="584">
        <f t="shared" si="87"/>
        <v>0</v>
      </c>
      <c r="AE30" s="584">
        <f t="shared" si="87"/>
        <v>0</v>
      </c>
      <c r="AF30" s="584">
        <f t="shared" si="87"/>
        <v>0</v>
      </c>
      <c r="AG30" s="584">
        <f t="shared" si="87"/>
        <v>0</v>
      </c>
      <c r="AH30" s="584">
        <f t="shared" si="87"/>
        <v>0</v>
      </c>
      <c r="AI30" s="584">
        <f t="shared" si="87"/>
        <v>0</v>
      </c>
      <c r="AJ30" s="584">
        <f t="shared" si="87"/>
        <v>0</v>
      </c>
      <c r="AK30" s="584">
        <f t="shared" si="87"/>
        <v>0</v>
      </c>
      <c r="AL30" s="584">
        <f t="shared" si="87"/>
        <v>0</v>
      </c>
      <c r="AM30" s="584">
        <f t="shared" si="87"/>
        <v>0</v>
      </c>
      <c r="AN30" s="584">
        <f t="shared" si="87"/>
        <v>0</v>
      </c>
      <c r="AO30" s="584">
        <f t="shared" si="87"/>
        <v>0</v>
      </c>
    </row>
    <row r="31" spans="1:41" outlineLevel="1">
      <c r="A31" s="590" t="s">
        <v>680</v>
      </c>
      <c r="B31" s="584">
        <f>B29-B30</f>
        <v>0</v>
      </c>
      <c r="C31" s="584">
        <f>IF($B$24&lt;=C28,C29,C29-PV($B$22/12,12*($B$23-C$28),-$B$25))</f>
        <v>0</v>
      </c>
      <c r="D31" s="584">
        <f t="shared" ref="D31:AO31" si="88">IF($B$24&lt;=D28,D29,D29-PV($B$22/12,12*($B$23-D$28),-$B$25))</f>
        <v>0</v>
      </c>
      <c r="E31" s="584">
        <f t="shared" si="88"/>
        <v>0</v>
      </c>
      <c r="F31" s="584">
        <f t="shared" si="88"/>
        <v>0</v>
      </c>
      <c r="G31" s="584">
        <f t="shared" si="88"/>
        <v>0</v>
      </c>
      <c r="H31" s="584">
        <f t="shared" si="88"/>
        <v>0</v>
      </c>
      <c r="I31" s="584">
        <f t="shared" si="88"/>
        <v>0</v>
      </c>
      <c r="J31" s="584">
        <f t="shared" si="88"/>
        <v>0</v>
      </c>
      <c r="K31" s="584">
        <f t="shared" si="88"/>
        <v>0</v>
      </c>
      <c r="L31" s="584">
        <f t="shared" si="88"/>
        <v>0</v>
      </c>
      <c r="M31" s="584">
        <f t="shared" si="88"/>
        <v>0</v>
      </c>
      <c r="N31" s="584">
        <f t="shared" si="88"/>
        <v>0</v>
      </c>
      <c r="O31" s="584">
        <f t="shared" si="88"/>
        <v>0</v>
      </c>
      <c r="P31" s="584">
        <f t="shared" si="88"/>
        <v>0</v>
      </c>
      <c r="Q31" s="584">
        <f t="shared" si="88"/>
        <v>0</v>
      </c>
      <c r="R31" s="584">
        <f t="shared" si="88"/>
        <v>0</v>
      </c>
      <c r="S31" s="584">
        <f t="shared" si="88"/>
        <v>0</v>
      </c>
      <c r="T31" s="584">
        <f t="shared" si="88"/>
        <v>0</v>
      </c>
      <c r="U31" s="584">
        <f t="shared" si="88"/>
        <v>0</v>
      </c>
      <c r="V31" s="584">
        <f t="shared" si="88"/>
        <v>0</v>
      </c>
      <c r="W31" s="584">
        <f t="shared" si="88"/>
        <v>0</v>
      </c>
      <c r="X31" s="584">
        <f t="shared" si="88"/>
        <v>0</v>
      </c>
      <c r="Y31" s="584">
        <f t="shared" si="88"/>
        <v>0</v>
      </c>
      <c r="Z31" s="584">
        <f t="shared" si="88"/>
        <v>0</v>
      </c>
      <c r="AA31" s="584">
        <f t="shared" si="88"/>
        <v>0</v>
      </c>
      <c r="AB31" s="584">
        <f t="shared" si="88"/>
        <v>0</v>
      </c>
      <c r="AC31" s="584">
        <f t="shared" si="88"/>
        <v>0</v>
      </c>
      <c r="AD31" s="584">
        <f t="shared" si="88"/>
        <v>0</v>
      </c>
      <c r="AE31" s="584">
        <f t="shared" si="88"/>
        <v>0</v>
      </c>
      <c r="AF31" s="584">
        <f t="shared" si="88"/>
        <v>0</v>
      </c>
      <c r="AG31" s="584">
        <f t="shared" si="88"/>
        <v>0</v>
      </c>
      <c r="AH31" s="584">
        <f t="shared" si="88"/>
        <v>0</v>
      </c>
      <c r="AI31" s="584">
        <f t="shared" si="88"/>
        <v>0</v>
      </c>
      <c r="AJ31" s="584">
        <f t="shared" si="88"/>
        <v>0</v>
      </c>
      <c r="AK31" s="584">
        <f t="shared" si="88"/>
        <v>0</v>
      </c>
      <c r="AL31" s="584">
        <f t="shared" si="88"/>
        <v>0</v>
      </c>
      <c r="AM31" s="584">
        <f t="shared" si="88"/>
        <v>0</v>
      </c>
      <c r="AN31" s="584">
        <f t="shared" si="88"/>
        <v>0</v>
      </c>
      <c r="AO31" s="584">
        <f t="shared" si="88"/>
        <v>0</v>
      </c>
    </row>
    <row r="32" spans="1:41" outlineLevel="1">
      <c r="A32" s="590" t="s">
        <v>681</v>
      </c>
      <c r="B32" s="584">
        <f>$B$26-B31</f>
        <v>0</v>
      </c>
      <c r="C32" s="584">
        <f>IF($B$24&gt;=C28,$B$26-(C29-PV($B$22/12,12*($B$23-C$28),-$B$25)),0)</f>
        <v>0</v>
      </c>
      <c r="D32" s="584">
        <f t="shared" ref="D32:AO32" si="89">IF($B$24&gt;=D28,$B$26-(D29-PV($B$22/12,12*($B$23-D$28),-$B$25)),0)</f>
        <v>0</v>
      </c>
      <c r="E32" s="584">
        <f t="shared" si="89"/>
        <v>0</v>
      </c>
      <c r="F32" s="584">
        <f t="shared" si="89"/>
        <v>0</v>
      </c>
      <c r="G32" s="584">
        <f t="shared" si="89"/>
        <v>0</v>
      </c>
      <c r="H32" s="584">
        <f t="shared" si="89"/>
        <v>0</v>
      </c>
      <c r="I32" s="584">
        <f t="shared" si="89"/>
        <v>0</v>
      </c>
      <c r="J32" s="584">
        <f t="shared" si="89"/>
        <v>0</v>
      </c>
      <c r="K32" s="584">
        <f t="shared" si="89"/>
        <v>0</v>
      </c>
      <c r="L32" s="584">
        <f t="shared" si="89"/>
        <v>0</v>
      </c>
      <c r="M32" s="584">
        <f t="shared" si="89"/>
        <v>0</v>
      </c>
      <c r="N32" s="584">
        <f t="shared" si="89"/>
        <v>0</v>
      </c>
      <c r="O32" s="584">
        <f t="shared" si="89"/>
        <v>0</v>
      </c>
      <c r="P32" s="584">
        <f t="shared" si="89"/>
        <v>0</v>
      </c>
      <c r="Q32" s="584">
        <f t="shared" si="89"/>
        <v>0</v>
      </c>
      <c r="R32" s="584">
        <f t="shared" si="89"/>
        <v>0</v>
      </c>
      <c r="S32" s="584">
        <f t="shared" si="89"/>
        <v>0</v>
      </c>
      <c r="T32" s="584">
        <f t="shared" si="89"/>
        <v>0</v>
      </c>
      <c r="U32" s="584">
        <f t="shared" si="89"/>
        <v>0</v>
      </c>
      <c r="V32" s="584">
        <f t="shared" si="89"/>
        <v>0</v>
      </c>
      <c r="W32" s="584">
        <f t="shared" si="89"/>
        <v>0</v>
      </c>
      <c r="X32" s="584">
        <f t="shared" si="89"/>
        <v>0</v>
      </c>
      <c r="Y32" s="584">
        <f t="shared" si="89"/>
        <v>0</v>
      </c>
      <c r="Z32" s="584">
        <f t="shared" si="89"/>
        <v>0</v>
      </c>
      <c r="AA32" s="584">
        <f t="shared" si="89"/>
        <v>0</v>
      </c>
      <c r="AB32" s="584">
        <f t="shared" si="89"/>
        <v>0</v>
      </c>
      <c r="AC32" s="584">
        <f t="shared" si="89"/>
        <v>0</v>
      </c>
      <c r="AD32" s="584">
        <f t="shared" si="89"/>
        <v>0</v>
      </c>
      <c r="AE32" s="584">
        <f t="shared" si="89"/>
        <v>0</v>
      </c>
      <c r="AF32" s="584">
        <f t="shared" si="89"/>
        <v>0</v>
      </c>
      <c r="AG32" s="584">
        <f t="shared" si="89"/>
        <v>0</v>
      </c>
      <c r="AH32" s="584">
        <f t="shared" si="89"/>
        <v>0</v>
      </c>
      <c r="AI32" s="584">
        <f t="shared" si="89"/>
        <v>0</v>
      </c>
      <c r="AJ32" s="584">
        <f t="shared" si="89"/>
        <v>0</v>
      </c>
      <c r="AK32" s="584">
        <f t="shared" si="89"/>
        <v>0</v>
      </c>
      <c r="AL32" s="584">
        <f t="shared" si="89"/>
        <v>0</v>
      </c>
      <c r="AM32" s="584">
        <f t="shared" si="89"/>
        <v>0</v>
      </c>
      <c r="AN32" s="584">
        <f t="shared" si="89"/>
        <v>0</v>
      </c>
      <c r="AO32" s="584">
        <f t="shared" si="89"/>
        <v>0</v>
      </c>
    </row>
    <row r="33" spans="1:41" outlineLevel="1">
      <c r="A33" s="590" t="s">
        <v>689</v>
      </c>
      <c r="B33" s="584">
        <f>B31+B32</f>
        <v>0</v>
      </c>
      <c r="C33" s="584">
        <f>C31+C32</f>
        <v>0</v>
      </c>
      <c r="D33" s="584">
        <f>D31+D32</f>
        <v>0</v>
      </c>
      <c r="E33" s="584">
        <f t="shared" ref="E33:AO33" si="90">E31+E32</f>
        <v>0</v>
      </c>
      <c r="F33" s="584">
        <f t="shared" si="90"/>
        <v>0</v>
      </c>
      <c r="G33" s="584">
        <f t="shared" si="90"/>
        <v>0</v>
      </c>
      <c r="H33" s="584">
        <f t="shared" si="90"/>
        <v>0</v>
      </c>
      <c r="I33" s="584">
        <f t="shared" si="90"/>
        <v>0</v>
      </c>
      <c r="J33" s="584">
        <f t="shared" si="90"/>
        <v>0</v>
      </c>
      <c r="K33" s="584">
        <f t="shared" si="90"/>
        <v>0</v>
      </c>
      <c r="L33" s="584">
        <f t="shared" si="90"/>
        <v>0</v>
      </c>
      <c r="M33" s="584">
        <f t="shared" si="90"/>
        <v>0</v>
      </c>
      <c r="N33" s="584">
        <f t="shared" si="90"/>
        <v>0</v>
      </c>
      <c r="O33" s="584">
        <f t="shared" si="90"/>
        <v>0</v>
      </c>
      <c r="P33" s="584">
        <f t="shared" si="90"/>
        <v>0</v>
      </c>
      <c r="Q33" s="584">
        <f t="shared" si="90"/>
        <v>0</v>
      </c>
      <c r="R33" s="584">
        <f t="shared" si="90"/>
        <v>0</v>
      </c>
      <c r="S33" s="584">
        <f t="shared" si="90"/>
        <v>0</v>
      </c>
      <c r="T33" s="584">
        <f t="shared" si="90"/>
        <v>0</v>
      </c>
      <c r="U33" s="584">
        <f t="shared" si="90"/>
        <v>0</v>
      </c>
      <c r="V33" s="584">
        <f t="shared" si="90"/>
        <v>0</v>
      </c>
      <c r="W33" s="584">
        <f t="shared" si="90"/>
        <v>0</v>
      </c>
      <c r="X33" s="584">
        <f t="shared" si="90"/>
        <v>0</v>
      </c>
      <c r="Y33" s="584">
        <f t="shared" si="90"/>
        <v>0</v>
      </c>
      <c r="Z33" s="584">
        <f t="shared" si="90"/>
        <v>0</v>
      </c>
      <c r="AA33" s="584">
        <f t="shared" si="90"/>
        <v>0</v>
      </c>
      <c r="AB33" s="584">
        <f t="shared" si="90"/>
        <v>0</v>
      </c>
      <c r="AC33" s="584">
        <f t="shared" si="90"/>
        <v>0</v>
      </c>
      <c r="AD33" s="584">
        <f t="shared" si="90"/>
        <v>0</v>
      </c>
      <c r="AE33" s="584">
        <f t="shared" si="90"/>
        <v>0</v>
      </c>
      <c r="AF33" s="584">
        <f t="shared" si="90"/>
        <v>0</v>
      </c>
      <c r="AG33" s="584">
        <f t="shared" si="90"/>
        <v>0</v>
      </c>
      <c r="AH33" s="584">
        <f t="shared" si="90"/>
        <v>0</v>
      </c>
      <c r="AI33" s="584">
        <f t="shared" si="90"/>
        <v>0</v>
      </c>
      <c r="AJ33" s="584">
        <f t="shared" si="90"/>
        <v>0</v>
      </c>
      <c r="AK33" s="584">
        <f t="shared" si="90"/>
        <v>0</v>
      </c>
      <c r="AL33" s="584">
        <f t="shared" si="90"/>
        <v>0</v>
      </c>
      <c r="AM33" s="584">
        <f t="shared" si="90"/>
        <v>0</v>
      </c>
      <c r="AN33" s="584">
        <f t="shared" si="90"/>
        <v>0</v>
      </c>
      <c r="AO33" s="584">
        <f t="shared" si="90"/>
        <v>0</v>
      </c>
    </row>
    <row r="34" spans="1:41" outlineLevel="1">
      <c r="A34" s="590"/>
    </row>
    <row r="35" spans="1:41" outlineLevel="1">
      <c r="A35" s="585" t="str">
        <f>assumptions!A23</f>
        <v>VHFA Housing Investments for Vermont (HIVE)</v>
      </c>
    </row>
    <row r="36" spans="1:41" outlineLevel="1">
      <c r="A36" s="585"/>
    </row>
    <row r="37" spans="1:41" outlineLevel="1">
      <c r="A37" s="586" t="s">
        <v>680</v>
      </c>
      <c r="B37" s="584">
        <f>assumptions!B23</f>
        <v>0</v>
      </c>
    </row>
    <row r="38" spans="1:41" outlineLevel="1">
      <c r="A38" s="586" t="s">
        <v>681</v>
      </c>
      <c r="B38" s="587">
        <f>assumptions!D23</f>
        <v>0</v>
      </c>
    </row>
    <row r="39" spans="1:41" outlineLevel="1">
      <c r="A39" s="586" t="s">
        <v>682</v>
      </c>
      <c r="B39" s="584">
        <f>assumptions!E23</f>
        <v>0</v>
      </c>
    </row>
    <row r="40" spans="1:41" outlineLevel="1">
      <c r="A40" s="586" t="s">
        <v>683</v>
      </c>
      <c r="B40" s="591">
        <f>IF(assumptions!F23="deferred",0,assumptions!F23)</f>
        <v>0</v>
      </c>
    </row>
    <row r="41" spans="1:41" outlineLevel="1">
      <c r="A41" s="586" t="s">
        <v>684</v>
      </c>
      <c r="B41" s="584">
        <f>IF(B39=0,B37*(B38/12),PMT(B38/12,B39*12,-B37))</f>
        <v>0</v>
      </c>
    </row>
    <row r="42" spans="1:41" outlineLevel="1">
      <c r="A42" s="586" t="s">
        <v>685</v>
      </c>
      <c r="B42" s="584">
        <f>B41*12</f>
        <v>0</v>
      </c>
    </row>
    <row r="43" spans="1:41" outlineLevel="1"/>
    <row r="44" spans="1:41" outlineLevel="1">
      <c r="A44" s="588" t="s">
        <v>686</v>
      </c>
      <c r="B44" s="589">
        <v>1</v>
      </c>
      <c r="C44" s="589">
        <f t="shared" ref="C44:AE44" si="91">B44+1</f>
        <v>2</v>
      </c>
      <c r="D44" s="589">
        <f t="shared" si="91"/>
        <v>3</v>
      </c>
      <c r="E44" s="589">
        <f t="shared" si="91"/>
        <v>4</v>
      </c>
      <c r="F44" s="589">
        <f t="shared" si="91"/>
        <v>5</v>
      </c>
      <c r="G44" s="589">
        <f t="shared" si="91"/>
        <v>6</v>
      </c>
      <c r="H44" s="589">
        <f t="shared" si="91"/>
        <v>7</v>
      </c>
      <c r="I44" s="589">
        <f t="shared" si="91"/>
        <v>8</v>
      </c>
      <c r="J44" s="589">
        <f t="shared" si="91"/>
        <v>9</v>
      </c>
      <c r="K44" s="589">
        <f t="shared" si="91"/>
        <v>10</v>
      </c>
      <c r="L44" s="589">
        <f t="shared" si="91"/>
        <v>11</v>
      </c>
      <c r="M44" s="589">
        <f t="shared" si="91"/>
        <v>12</v>
      </c>
      <c r="N44" s="589">
        <f t="shared" si="91"/>
        <v>13</v>
      </c>
      <c r="O44" s="589">
        <f t="shared" si="91"/>
        <v>14</v>
      </c>
      <c r="P44" s="589">
        <f t="shared" si="91"/>
        <v>15</v>
      </c>
      <c r="Q44" s="589">
        <f t="shared" si="91"/>
        <v>16</v>
      </c>
      <c r="R44" s="589">
        <f t="shared" si="91"/>
        <v>17</v>
      </c>
      <c r="S44" s="589">
        <f t="shared" si="91"/>
        <v>18</v>
      </c>
      <c r="T44" s="589">
        <f t="shared" si="91"/>
        <v>19</v>
      </c>
      <c r="U44" s="589">
        <f t="shared" si="91"/>
        <v>20</v>
      </c>
      <c r="V44" s="589">
        <f t="shared" si="91"/>
        <v>21</v>
      </c>
      <c r="W44" s="589">
        <f t="shared" si="91"/>
        <v>22</v>
      </c>
      <c r="X44" s="589">
        <f t="shared" si="91"/>
        <v>23</v>
      </c>
      <c r="Y44" s="589">
        <f t="shared" si="91"/>
        <v>24</v>
      </c>
      <c r="Z44" s="589">
        <f t="shared" si="91"/>
        <v>25</v>
      </c>
      <c r="AA44" s="589">
        <f t="shared" si="91"/>
        <v>26</v>
      </c>
      <c r="AB44" s="589">
        <f t="shared" si="91"/>
        <v>27</v>
      </c>
      <c r="AC44" s="589">
        <f t="shared" si="91"/>
        <v>28</v>
      </c>
      <c r="AD44" s="589">
        <f t="shared" si="91"/>
        <v>29</v>
      </c>
      <c r="AE44" s="589">
        <f t="shared" si="91"/>
        <v>30</v>
      </c>
      <c r="AF44" s="589">
        <f t="shared" ref="AF44:AO44" si="92">AE44+1</f>
        <v>31</v>
      </c>
      <c r="AG44" s="589">
        <f t="shared" si="92"/>
        <v>32</v>
      </c>
      <c r="AH44" s="589">
        <f t="shared" si="92"/>
        <v>33</v>
      </c>
      <c r="AI44" s="589">
        <f t="shared" si="92"/>
        <v>34</v>
      </c>
      <c r="AJ44" s="589">
        <f t="shared" si="92"/>
        <v>35</v>
      </c>
      <c r="AK44" s="589">
        <f t="shared" si="92"/>
        <v>36</v>
      </c>
      <c r="AL44" s="589">
        <f t="shared" si="92"/>
        <v>37</v>
      </c>
      <c r="AM44" s="589">
        <f t="shared" si="92"/>
        <v>38</v>
      </c>
      <c r="AN44" s="589">
        <f t="shared" si="92"/>
        <v>39</v>
      </c>
      <c r="AO44" s="589">
        <f t="shared" si="92"/>
        <v>40</v>
      </c>
    </row>
    <row r="45" spans="1:41" outlineLevel="1">
      <c r="A45" s="590" t="s">
        <v>687</v>
      </c>
      <c r="B45" s="584">
        <f>B37</f>
        <v>0</v>
      </c>
      <c r="C45" s="584">
        <f t="shared" ref="C45:AO45" si="93">IF(C44&lt;=$B$40,B46,0)</f>
        <v>0</v>
      </c>
      <c r="D45" s="584">
        <f t="shared" si="93"/>
        <v>0</v>
      </c>
      <c r="E45" s="584">
        <f t="shared" si="93"/>
        <v>0</v>
      </c>
      <c r="F45" s="584">
        <f t="shared" si="93"/>
        <v>0</v>
      </c>
      <c r="G45" s="584">
        <f t="shared" si="93"/>
        <v>0</v>
      </c>
      <c r="H45" s="584">
        <f t="shared" si="93"/>
        <v>0</v>
      </c>
      <c r="I45" s="584">
        <f t="shared" si="93"/>
        <v>0</v>
      </c>
      <c r="J45" s="584">
        <f t="shared" si="93"/>
        <v>0</v>
      </c>
      <c r="K45" s="584">
        <f t="shared" si="93"/>
        <v>0</v>
      </c>
      <c r="L45" s="584">
        <f t="shared" si="93"/>
        <v>0</v>
      </c>
      <c r="M45" s="584">
        <f t="shared" si="93"/>
        <v>0</v>
      </c>
      <c r="N45" s="584">
        <f t="shared" si="93"/>
        <v>0</v>
      </c>
      <c r="O45" s="584">
        <f t="shared" si="93"/>
        <v>0</v>
      </c>
      <c r="P45" s="584">
        <f t="shared" si="93"/>
        <v>0</v>
      </c>
      <c r="Q45" s="584">
        <f t="shared" si="93"/>
        <v>0</v>
      </c>
      <c r="R45" s="584">
        <f t="shared" si="93"/>
        <v>0</v>
      </c>
      <c r="S45" s="584">
        <f t="shared" si="93"/>
        <v>0</v>
      </c>
      <c r="T45" s="584">
        <f t="shared" si="93"/>
        <v>0</v>
      </c>
      <c r="U45" s="584">
        <f t="shared" si="93"/>
        <v>0</v>
      </c>
      <c r="V45" s="584">
        <f t="shared" si="93"/>
        <v>0</v>
      </c>
      <c r="W45" s="584">
        <f t="shared" si="93"/>
        <v>0</v>
      </c>
      <c r="X45" s="584">
        <f t="shared" si="93"/>
        <v>0</v>
      </c>
      <c r="Y45" s="584">
        <f t="shared" si="93"/>
        <v>0</v>
      </c>
      <c r="Z45" s="584">
        <f t="shared" si="93"/>
        <v>0</v>
      </c>
      <c r="AA45" s="584">
        <f t="shared" si="93"/>
        <v>0</v>
      </c>
      <c r="AB45" s="584">
        <f t="shared" si="93"/>
        <v>0</v>
      </c>
      <c r="AC45" s="584">
        <f t="shared" si="93"/>
        <v>0</v>
      </c>
      <c r="AD45" s="584">
        <f t="shared" si="93"/>
        <v>0</v>
      </c>
      <c r="AE45" s="584">
        <f t="shared" si="93"/>
        <v>0</v>
      </c>
      <c r="AF45" s="584">
        <f t="shared" si="93"/>
        <v>0</v>
      </c>
      <c r="AG45" s="584">
        <f t="shared" si="93"/>
        <v>0</v>
      </c>
      <c r="AH45" s="584">
        <f t="shared" si="93"/>
        <v>0</v>
      </c>
      <c r="AI45" s="584">
        <f t="shared" si="93"/>
        <v>0</v>
      </c>
      <c r="AJ45" s="584">
        <f t="shared" si="93"/>
        <v>0</v>
      </c>
      <c r="AK45" s="584">
        <f t="shared" si="93"/>
        <v>0</v>
      </c>
      <c r="AL45" s="584">
        <f t="shared" si="93"/>
        <v>0</v>
      </c>
      <c r="AM45" s="584">
        <f t="shared" si="93"/>
        <v>0</v>
      </c>
      <c r="AN45" s="584">
        <f t="shared" si="93"/>
        <v>0</v>
      </c>
      <c r="AO45" s="584">
        <f t="shared" si="93"/>
        <v>0</v>
      </c>
    </row>
    <row r="46" spans="1:41" outlineLevel="1">
      <c r="A46" s="590" t="s">
        <v>688</v>
      </c>
      <c r="B46" s="584" cm="1">
        <f t="array" ref="B46">_xlfn.IFS(B38=0,B45-B42,B39=0,B45,B39&gt;0,PV($B$38/12,12*($B$39-B$44),-$B$41))</f>
        <v>0</v>
      </c>
      <c r="C46" s="584" cm="1">
        <f t="array" ref="C46">_xlfn.IFS(C$45=0,0,$B$38=0,C45-$B$42,AND($B$40&lt;C44,$B$38&gt;0),0,AND($B$39=0,C44&gt;=$B$39),C45,$B$39=0,C45,$B$39&lt;=C44,0,C44&gt;=$B$40,0,C44&lt;=$B40,PV($B$38/12,12*($B$39-C$44),-$B$41))</f>
        <v>0</v>
      </c>
      <c r="D46" s="584" cm="1">
        <f t="array" ref="D46">_xlfn.IFS(D$45=0,0,$B$38=0,D45-$B$42,AND($B$40&lt;D44,$B$38&gt;0),0,AND($B$39=0,D44&gt;=$B$39),D45,$B$39=0,D45,$B$39&lt;=D44,0,D44&gt;=$B$40,0,D44&lt;=$B40,PV($B$38/12,12*($B$39-D$44),-$B$41))</f>
        <v>0</v>
      </c>
      <c r="E46" s="584" cm="1">
        <f t="array" ref="E46">_xlfn.IFS(E$45=0,0,$B$38=0,E45-$B$42,AND($B$40&lt;E44,$B$38&gt;0),0,AND($B$39=0,E44&gt;=$B$39),E45,$B$39=0,E45,$B$39&lt;=E44,0,E44&gt;=$B$40,0,E44&lt;=$B40,PV($B$38/12,12*($B$39-E$44),-$B$41))</f>
        <v>0</v>
      </c>
      <c r="F46" s="584" cm="1">
        <f t="array" ref="F46">_xlfn.IFS(F$45=0,0,$B$38=0,F45-$B$42,AND($B$40&lt;F44,$B$38&gt;0),0,AND($B$39=0,F44&gt;=$B$39),F45,$B$39=0,F45,$B$39&lt;=F44,0,F44&gt;=$B$40,0,F44&lt;=$B40,PV($B$38/12,12*($B$39-F$44),-$B$41))</f>
        <v>0</v>
      </c>
      <c r="G46" s="584" cm="1">
        <f t="array" ref="G46">_xlfn.IFS(G$45=0,0,$B$38=0,G45-$B$42,AND($B$40&lt;G44,$B$38&gt;0),0,AND($B$39=0,G44&gt;=$B$39),G45,$B$39=0,G45,$B$39&lt;=G44,0,G44&gt;=$B$40,0,G44&lt;=$B40,PV($B$38/12,12*($B$39-G$44),-$B$41))</f>
        <v>0</v>
      </c>
      <c r="H46" s="584" cm="1">
        <f t="array" ref="H46">_xlfn.IFS(H$45=0,0,$B$38=0,H45-$B$42,AND($B$40&lt;H44,$B$38&gt;0),0,AND($B$39=0,H44&gt;=$B$39),H45,$B$39=0,H45,$B$39&lt;=H44,0,H44&gt;=$B$40,0,H44&lt;=$B40,PV($B$38/12,12*($B$39-H$44),-$B$41))</f>
        <v>0</v>
      </c>
      <c r="I46" s="584" cm="1">
        <f t="array" ref="I46">_xlfn.IFS(I$45=0,0,$B$38=0,I45-$B$42,AND($B$40&lt;I44,$B$38&gt;0),0,AND($B$39=0,I44&gt;=$B$39),I45,$B$39=0,I45,$B$39&lt;=I44,0,I44&gt;=$B$40,0,I44&lt;=$B40,PV($B$38/12,12*($B$39-I$44),-$B$41))</f>
        <v>0</v>
      </c>
      <c r="J46" s="584" cm="1">
        <f t="array" ref="J46">_xlfn.IFS(J$45=0,0,$B$38=0,J45-$B$42,AND($B$40&lt;J44,$B$38&gt;0),0,AND($B$39=0,J44&gt;=$B$39),J45,$B$39=0,J45,$B$39&lt;=J44,0,J44&gt;=$B$40,0,J44&lt;=$B40,PV($B$38/12,12*($B$39-J$44),-$B$41))</f>
        <v>0</v>
      </c>
      <c r="K46" s="584" cm="1">
        <f t="array" ref="K46">_xlfn.IFS(K$45=0,0,$B$38=0,K45-$B$42,AND($B$40&lt;K44,$B$38&gt;0),0,AND($B$39=0,K44&gt;=$B$39),K45,$B$39=0,K45,$B$39&lt;=K44,0,K44&gt;=$B$40,0,K44&lt;=$B40,PV($B$38/12,12*($B$39-K$44),-$B$41))</f>
        <v>0</v>
      </c>
      <c r="L46" s="584" cm="1">
        <f t="array" ref="L46">_xlfn.IFS(L$45=0,0,$B$38=0,L45-$B$42,AND($B$40&lt;L44,$B$38&gt;0),0,AND($B$39=0,L44&gt;=$B$39),L45,$B$39=0,L45,$B$39&lt;=L44,0,L44&gt;=$B$40,0,L44&lt;=$B40,PV($B$38/12,12*($B$39-L$44),-$B$41))</f>
        <v>0</v>
      </c>
      <c r="M46" s="584" cm="1">
        <f t="array" ref="M46">_xlfn.IFS(M$45=0,0,$B$38=0,M45-$B$42,AND($B$40&lt;M44,$B$38&gt;0),0,AND($B$39=0,M44&gt;=$B$39),M45,$B$39=0,M45,$B$39&lt;=M44,0,M44&gt;=$B$40,0,M44&lt;=$B40,PV($B$38/12,12*($B$39-M$44),-$B$41))</f>
        <v>0</v>
      </c>
      <c r="N46" s="584" cm="1">
        <f t="array" ref="N46">_xlfn.IFS(N$45=0,0,$B$38=0,N45-$B$42,AND($B$40&lt;N44,$B$38&gt;0),0,AND($B$39=0,N44&gt;=$B$39),N45,$B$39=0,N45,$B$39&lt;=N44,0,N44&gt;=$B$40,0,N44&lt;=$B40,PV($B$38/12,12*($B$39-N$44),-$B$41))</f>
        <v>0</v>
      </c>
      <c r="O46" s="584" cm="1">
        <f t="array" ref="O46">_xlfn.IFS(O$45=0,0,$B$38=0,O45-$B$42,AND($B$40&lt;O44,$B$38&gt;0),0,AND($B$39=0,O44&gt;=$B$39),O45,$B$39=0,O45,$B$39&lt;=O44,0,O44&gt;=$B$40,0,O44&lt;=$B40,PV($B$38/12,12*($B$39-O$44),-$B$41))</f>
        <v>0</v>
      </c>
      <c r="P46" s="584" cm="1">
        <f t="array" ref="P46">_xlfn.IFS(P$45=0,0,$B$38=0,P45-$B$42,AND($B$40&lt;P44,$B$38&gt;0),0,AND($B$39=0,P44&gt;=$B$39),P45,$B$39=0,P45,$B$39&lt;=P44,0,P44&gt;=$B$40,0,P44&lt;=$B40,PV($B$38/12,12*($B$39-P$44),-$B$41))</f>
        <v>0</v>
      </c>
      <c r="Q46" s="584" cm="1">
        <f t="array" ref="Q46">_xlfn.IFS(Q$45=0,0,$B$38=0,Q45-$B$42,AND($B$40&lt;Q44,$B$38&gt;0),0,AND($B$39=0,Q44&gt;=$B$39),Q45,$B$39=0,Q45,$B$39&lt;=Q44,0,Q44&gt;=$B$40,0,Q44&lt;=$B40,PV($B$38/12,12*($B$39-Q$44),-$B$41))</f>
        <v>0</v>
      </c>
      <c r="R46" s="584" cm="1">
        <f t="array" ref="R46">_xlfn.IFS(R$45=0,0,$B$38=0,R45-$B$42,AND($B$40&lt;R44,$B$38&gt;0),0,AND($B$39=0,R44&gt;=$B$39),R45,$B$39=0,R45,$B$39&lt;=R44,0,R44&gt;=$B$40,0,R44&lt;=$B40,PV($B$38/12,12*($B$39-R$44),-$B$41))</f>
        <v>0</v>
      </c>
      <c r="S46" s="584" cm="1">
        <f t="array" ref="S46">_xlfn.IFS(S$45=0,0,$B$38=0,S45-$B$42,AND($B$40&lt;S44,$B$38&gt;0),0,AND($B$39=0,S44&gt;=$B$39),S45,$B$39=0,S45,$B$39&lt;=S44,0,S44&gt;=$B$40,0,S44&lt;=$B40,PV($B$38/12,12*($B$39-S$44),-$B$41))</f>
        <v>0</v>
      </c>
      <c r="T46" s="584" cm="1">
        <f t="array" ref="T46">_xlfn.IFS(T$45=0,0,$B$38=0,T45-$B$42,AND($B$40&lt;T44,$B$38&gt;0),0,AND($B$39=0,T44&gt;=$B$39),T45,$B$39=0,T45,$B$39&lt;=T44,0,T44&gt;=$B$40,0,T44&lt;=$B40,PV($B$38/12,12*($B$39-T$44),-$B$41))</f>
        <v>0</v>
      </c>
      <c r="U46" s="584" cm="1">
        <f t="array" ref="U46">_xlfn.IFS(U$45=0,0,$B$38=0,U45-$B$42,AND($B$40&lt;U44,$B$38&gt;0),0,AND($B$39=0,U44&gt;=$B$39),U45,$B$39=0,U45,$B$39&lt;=U44,0,U44&gt;=$B$40,0,U44&lt;=$B40,PV($B$38/12,12*($B$39-U$44),-$B$41))</f>
        <v>0</v>
      </c>
      <c r="V46" s="584" cm="1">
        <f t="array" ref="V46">_xlfn.IFS(V$45=0,0,$B$38=0,V45-$B$42,AND($B$40&lt;V44,$B$38&gt;0),0,AND($B$39=0,V44&gt;=$B$39),V45,$B$39=0,V45,$B$39&lt;=V44,0,V44&gt;=$B$40,0,V44&lt;=$B40,PV($B$38/12,12*($B$39-V$44),-$B$41))</f>
        <v>0</v>
      </c>
      <c r="W46" s="584" cm="1">
        <f t="array" ref="W46">_xlfn.IFS(W$45=0,0,$B$38=0,W45-$B$42,AND($B$40&lt;W44,$B$38&gt;0),0,AND($B$39=0,W44&gt;=$B$39),W45,$B$39=0,W45,$B$39&lt;=W44,0,W44&gt;=$B$40,0,W44&lt;=$B40,PV($B$38/12,12*($B$39-W$44),-$B$41))</f>
        <v>0</v>
      </c>
      <c r="X46" s="584" cm="1">
        <f t="array" ref="X46">_xlfn.IFS(X$45=0,0,$B$38=0,X45-$B$42,AND($B$40&lt;X44,$B$38&gt;0),0,AND($B$39=0,X44&gt;=$B$39),X45,$B$39=0,X45,$B$39&lt;=X44,0,X44&gt;=$B$40,0,X44&lt;=$B40,PV($B$38/12,12*($B$39-X$44),-$B$41))</f>
        <v>0</v>
      </c>
      <c r="Y46" s="584" cm="1">
        <f t="array" ref="Y46">_xlfn.IFS(Y$45=0,0,$B$38=0,Y45-$B$42,AND($B$40&lt;Y44,$B$38&gt;0),0,AND($B$39=0,Y44&gt;=$B$39),Y45,$B$39=0,Y45,$B$39&lt;=Y44,0,Y44&gt;=$B$40,0,Y44&lt;=$B40,PV($B$38/12,12*($B$39-Y$44),-$B$41))</f>
        <v>0</v>
      </c>
      <c r="Z46" s="584" cm="1">
        <f t="array" ref="Z46">_xlfn.IFS(Z$45=0,0,$B$38=0,Z45-$B$42,AND($B$40&lt;Z44,$B$38&gt;0),0,AND($B$39=0,Z44&gt;=$B$39),Z45,$B$39=0,Z45,$B$39&lt;=Z44,0,Z44&gt;=$B$40,0,Z44&lt;=$B40,PV($B$38/12,12*($B$39-Z$44),-$B$41))</f>
        <v>0</v>
      </c>
      <c r="AA46" s="584" cm="1">
        <f t="array" ref="AA46">_xlfn.IFS(AA$45=0,0,$B$38=0,AA45-$B$42,AND($B$40&lt;AA44,$B$38&gt;0),0,AND($B$39=0,AA44&gt;=$B$39),AA45,$B$39=0,AA45,$B$39&lt;=AA44,0,AA44&gt;=$B$40,0,AA44&lt;=$B40,PV($B$38/12,12*($B$39-AA$44),-$B$41))</f>
        <v>0</v>
      </c>
      <c r="AB46" s="584" cm="1">
        <f t="array" ref="AB46">_xlfn.IFS(AB$45=0,0,$B$38=0,AB45-$B$42,AND($B$40&lt;AB44,$B$38&gt;0),0,AND($B$39=0,AB44&gt;=$B$39),AB45,$B$39=0,AB45,$B$39&lt;=AB44,0,AB44&gt;=$B$40,0,AB44&lt;=$B40,PV($B$38/12,12*($B$39-AB$44),-$B$41))</f>
        <v>0</v>
      </c>
      <c r="AC46" s="584" cm="1">
        <f t="array" ref="AC46">_xlfn.IFS(AC$45=0,0,$B$38=0,AC45-$B$42,AND($B$40&lt;AC44,$B$38&gt;0),0,AND($B$39=0,AC44&gt;=$B$39),AC45,$B$39=0,AC45,$B$39&lt;=AC44,0,AC44&gt;=$B$40,0,AC44&lt;=$B40,PV($B$38/12,12*($B$39-AC$44),-$B$41))</f>
        <v>0</v>
      </c>
      <c r="AD46" s="584" cm="1">
        <f t="array" ref="AD46">_xlfn.IFS(AD$45=0,0,$B$38=0,AD45-$B$42,AND($B$40&lt;AD44,$B$38&gt;0),0,AND($B$39=0,AD44&gt;=$B$39),AD45,$B$39=0,AD45,$B$39&lt;=AD44,0,AD44&gt;=$B$40,0,AD44&lt;=$B40,PV($B$38/12,12*($B$39-AD$44),-$B$41))</f>
        <v>0</v>
      </c>
      <c r="AE46" s="584" cm="1">
        <f t="array" ref="AE46">_xlfn.IFS(AE$45=0,0,$B$38=0,AE45-$B$42,AND($B$40&lt;AE44,$B$38&gt;0),0,AND($B$39=0,AE44&gt;=$B$39),AE45,$B$39=0,AE45,$B$39&lt;=AE44,0,AE44&gt;=$B$40,0,AE44&lt;=$B40,PV($B$38/12,12*($B$39-AE$44),-$B$41))</f>
        <v>0</v>
      </c>
      <c r="AF46" s="584" cm="1">
        <f t="array" ref="AF46">_xlfn.IFS(AF$45=0,0,$B$38=0,AF45-$B$42,AND($B$40&lt;AF44,$B$38&gt;0),0,AND($B$39=0,AF44&gt;=$B$39),AF45,$B$39=0,AF45,$B$39&lt;=AF44,0,AF44&gt;=$B$40,0,AF44&lt;=$B40,PV($B$38/12,12*($B$39-AF$44),-$B$41))</f>
        <v>0</v>
      </c>
      <c r="AG46" s="584" cm="1">
        <f t="array" ref="AG46">_xlfn.IFS(AG$45=0,0,$B$38=0,AG45-$B$42,AND($B$40&lt;AG44,$B$38&gt;0),0,AND($B$39=0,AG44&gt;=$B$39),AG45,$B$39=0,AG45,$B$39&lt;=AG44,0,AG44&gt;=$B$40,0,AG44&lt;=$B40,PV($B$38/12,12*($B$39-AG$44),-$B$41))</f>
        <v>0</v>
      </c>
      <c r="AH46" s="584" cm="1">
        <f t="array" ref="AH46">_xlfn.IFS(AH$45=0,0,$B$38=0,AH45-$B$42,AND($B$40&lt;AH44,$B$38&gt;0),0,AND($B$39=0,AH44&gt;=$B$39),AH45,$B$39=0,AH45,$B$39&lt;=AH44,0,AH44&gt;=$B$40,0,AH44&lt;=$B40,PV($B$38/12,12*($B$39-AH$44),-$B$41))</f>
        <v>0</v>
      </c>
      <c r="AI46" s="584" cm="1">
        <f t="array" ref="AI46">_xlfn.IFS(AI$45=0,0,$B$38=0,AI45-$B$42,AND($B$40&lt;AI44,$B$38&gt;0),0,AND($B$39=0,AI44&gt;=$B$39),AI45,$B$39=0,AI45,$B$39&lt;=AI44,0,AI44&gt;=$B$40,0,AI44&lt;=$B40,PV($B$38/12,12*($B$39-AI$44),-$B$41))</f>
        <v>0</v>
      </c>
      <c r="AJ46" s="584" cm="1">
        <f t="array" ref="AJ46">_xlfn.IFS(AJ$45=0,0,$B$38=0,AJ45-$B$42,AND($B$40&lt;AJ44,$B$38&gt;0),0,AND($B$39=0,AJ44&gt;=$B$39),AJ45,$B$39=0,AJ45,$B$39&lt;=AJ44,0,AJ44&gt;=$B$40,0,AJ44&lt;=$B40,PV($B$38/12,12*($B$39-AJ$44),-$B$41))</f>
        <v>0</v>
      </c>
      <c r="AK46" s="584" cm="1">
        <f t="array" ref="AK46">_xlfn.IFS(AK$45=0,0,$B$38=0,AK45-$B$42,AND($B$40&lt;AK44,$B$38&gt;0),0,AND($B$39=0,AK44&gt;=$B$39),AK45,$B$39=0,AK45,$B$39&lt;=AK44,0,AK44&gt;=$B$40,0,AK44&lt;=$B40,PV($B$38/12,12*($B$39-AK$44),-$B$41))</f>
        <v>0</v>
      </c>
      <c r="AL46" s="584" cm="1">
        <f t="array" ref="AL46">_xlfn.IFS(AL$45=0,0,$B$38=0,AL45-$B$42,AND($B$40&lt;AL44,$B$38&gt;0),0,AND($B$39=0,AL44&gt;=$B$39),AL45,$B$39=0,AL45,$B$39&lt;=AL44,0,AL44&gt;=$B$40,0,AL44&lt;=$B40,PV($B$38/12,12*($B$39-AL$44),-$B$41))</f>
        <v>0</v>
      </c>
      <c r="AM46" s="584" cm="1">
        <f t="array" ref="AM46">_xlfn.IFS(AM$45=0,0,$B$38=0,AM45-$B$42,AND($B$40&lt;AM44,$B$38&gt;0),0,AND($B$39=0,AM44&gt;=$B$39),AM45,$B$39=0,AM45,$B$39&lt;=AM44,0,AM44&gt;=$B$40,0,AM44&lt;=$B40,PV($B$38/12,12*($B$39-AM$44),-$B$41))</f>
        <v>0</v>
      </c>
      <c r="AN46" s="584" cm="1">
        <f t="array" ref="AN46">_xlfn.IFS(AN$45=0,0,$B$38=0,AN45-$B$42,AND($B$40&lt;AN44,$B$38&gt;0),0,AND($B$39=0,AN44&gt;=$B$39),AN45,$B$39=0,AN45,$B$39&lt;=AN44,0,AN44&gt;=$B$40,0,AN44&lt;=$B40,PV($B$38/12,12*($B$39-AN$44),-$B$41))</f>
        <v>0</v>
      </c>
      <c r="AO46" s="584" cm="1">
        <f t="array" ref="AO46">_xlfn.IFS(AO$45=0,0,$B$38=0,AO45-$B$42,AND($B$40&lt;AO44,$B$38&gt;0),0,AND($B$39=0,AO44&gt;=$B$39),AO45,$B$39=0,AO45,$B$39&lt;=AO44,0,AO44&gt;=$B$40,0,AO44&lt;=$B40,PV($B$38/12,12*($B$39-AO$44),-$B$41))</f>
        <v>0</v>
      </c>
    </row>
    <row r="47" spans="1:41" outlineLevel="1">
      <c r="A47" s="590" t="s">
        <v>680</v>
      </c>
      <c r="B47" s="584" cm="1">
        <f t="array" ref="B47">_xlfn.IFS($B$38=0,$B$42,AND($B$38&gt;0,$B$40&lt;B44),0,$B$39=0,0,$B$40&gt;=B44,B45-PV($B$38/12,12*($B$39-B$44),-$B$41))</f>
        <v>0</v>
      </c>
      <c r="C47" s="584" cm="1">
        <f t="array" ref="C47">_xlfn.IFS($B$38=0,C45-C46,$B$39=0,0,C46=0,C45,$B$40=0,0,C44=$B$39,C45,C45&lt;=0,0,C44&lt;=$B$39,C45-PV($B$38/12,12*($B$39-C$44),-$B$41))</f>
        <v>0</v>
      </c>
      <c r="D47" s="584" cm="1">
        <f t="array" ref="D47">_xlfn.IFS($B$38=0,D45-D46,$B$39=0,0,D46=0,D45,$B$40=0,0,D44=$B$39,D45,D45&lt;=0,0,D44&lt;=$B$39,D45-PV($B$38/12,12*($B$39-D$44),-$B$41))</f>
        <v>0</v>
      </c>
      <c r="E47" s="584" cm="1">
        <f t="array" ref="E47">_xlfn.IFS($B$38=0,E45-E46,$B$39=0,0,E46=0,E45,$B$40=0,0,E44=$B$39,E45,E45&lt;=0,0,E44&lt;=$B$39,E45-PV($B$38/12,12*($B$39-E$44),-$B$41))</f>
        <v>0</v>
      </c>
      <c r="F47" s="584" cm="1">
        <f t="array" ref="F47">_xlfn.IFS($B$38=0,F45-F46,$B$39=0,0,F46=0,F45,$B$40=0,0,F44=$B$39,F45,F45&lt;=0,0,F44&lt;=$B$39,F45-PV($B$38/12,12*($B$39-F$44),-$B$41))</f>
        <v>0</v>
      </c>
      <c r="G47" s="584" cm="1">
        <f t="array" ref="G47">_xlfn.IFS($B$38=0,G45-G46,$B$39=0,0,G46=0,G45,$B$40=0,0,G44=$B$39,G45,G45&lt;=0,0,G44&lt;=$B$39,G45-PV($B$38/12,12*($B$39-G$44),-$B$41))</f>
        <v>0</v>
      </c>
      <c r="H47" s="584" cm="1">
        <f t="array" ref="H47">_xlfn.IFS($B$38=0,H45-H46,$B$39=0,0,H46=0,H45,$B$40=0,0,H44=$B$39,H45,H45&lt;=0,0,H44&lt;=$B$39,H45-PV($B$38/12,12*($B$39-H$44),-$B$41))</f>
        <v>0</v>
      </c>
      <c r="I47" s="584" cm="1">
        <f t="array" ref="I47">_xlfn.IFS($B$38=0,I45-I46,$B$39=0,0,I46=0,I45,$B$40=0,0,I44=$B$39,I45,I45&lt;=0,0,I44&lt;=$B$39,I45-PV($B$38/12,12*($B$39-I$44),-$B$41))</f>
        <v>0</v>
      </c>
      <c r="J47" s="584" cm="1">
        <f t="array" ref="J47">_xlfn.IFS($B$38=0,J45-J46,$B$39=0,0,J46=0,J45,$B$40=0,0,J44=$B$39,J45,J45&lt;=0,0,J44&lt;=$B$39,J45-PV($B$38/12,12*($B$39-J$44),-$B$41))</f>
        <v>0</v>
      </c>
      <c r="K47" s="584" cm="1">
        <f t="array" ref="K47">_xlfn.IFS($B$38=0,K45-K46,$B$39=0,0,K46=0,K45,$B$40=0,0,K44=$B$39,K45,K45&lt;=0,0,K44&lt;=$B$39,K45-PV($B$38/12,12*($B$39-K$44),-$B$41))</f>
        <v>0</v>
      </c>
      <c r="L47" s="584" cm="1">
        <f t="array" ref="L47">_xlfn.IFS($B$38=0,L45-L46,$B$39=0,0,L46=0,L45,$B$40=0,0,L44=$B$39,L45,L45&lt;=0,0,L44&lt;=$B$39,L45-PV($B$38/12,12*($B$39-L$44),-$B$41))</f>
        <v>0</v>
      </c>
      <c r="M47" s="584" cm="1">
        <f t="array" ref="M47">_xlfn.IFS($B$38=0,M45-M46,$B$39=0,0,M46=0,M45,$B$40=0,0,M44=$B$39,M45,M45&lt;=0,0,M44&lt;=$B$39,M45-PV($B$38/12,12*($B$39-M$44),-$B$41))</f>
        <v>0</v>
      </c>
      <c r="N47" s="584" cm="1">
        <f t="array" ref="N47">_xlfn.IFS($B$38=0,N45-N46,$B$39=0,0,N46=0,N45,$B$40=0,0,N44=$B$39,N45,N45&lt;=0,0,N44&lt;=$B$39,N45-PV($B$38/12,12*($B$39-N$44),-$B$41))</f>
        <v>0</v>
      </c>
      <c r="O47" s="584" cm="1">
        <f t="array" ref="O47">_xlfn.IFS($B$38=0,O45-O46,$B$39=0,0,O46=0,O45,$B$40=0,0,O44=$B$39,O45,O45&lt;=0,0,O44&lt;=$B$39,O45-PV($B$38/12,12*($B$39-O$44),-$B$41))</f>
        <v>0</v>
      </c>
      <c r="P47" s="584" cm="1">
        <f t="array" ref="P47">_xlfn.IFS($B$38=0,P45-P46,$B$39=0,0,P46=0,P45,$B$40=0,0,P44=$B$39,P45,P45&lt;=0,0,P44&lt;=$B$39,P45-PV($B$38/12,12*($B$39-P$44),-$B$41))</f>
        <v>0</v>
      </c>
      <c r="Q47" s="584" cm="1">
        <f t="array" ref="Q47">_xlfn.IFS($B$38=0,Q45-Q46,$B$39=0,0,Q46=0,Q45,$B$40=0,0,Q44=$B$39,Q45,Q45&lt;=0,0,Q44&lt;=$B$39,Q45-PV($B$38/12,12*($B$39-Q$44),-$B$41))</f>
        <v>0</v>
      </c>
      <c r="R47" s="584" cm="1">
        <f t="array" ref="R47">_xlfn.IFS($B$38=0,R45-R46,$B$39=0,0,R46=0,R45,$B$40=0,0,R44=$B$39,R45,R45&lt;=0,0,R44&lt;=$B$39,R45-PV($B$38/12,12*($B$39-R$44),-$B$41))</f>
        <v>0</v>
      </c>
      <c r="S47" s="584" cm="1">
        <f t="array" ref="S47">_xlfn.IFS($B$38=0,S45-S46,$B$39=0,0,S46=0,S45,$B$40=0,0,S44=$B$39,S45,S45&lt;=0,0,S44&lt;=$B$39,S45-PV($B$38/12,12*($B$39-S$44),-$B$41))</f>
        <v>0</v>
      </c>
      <c r="T47" s="584" cm="1">
        <f t="array" ref="T47">_xlfn.IFS($B$38=0,T45-T46,$B$39=0,0,T46=0,T45,$B$40=0,0,T44=$B$39,T45,T45&lt;=0,0,T44&lt;=$B$39,T45-PV($B$38/12,12*($B$39-T$44),-$B$41))</f>
        <v>0</v>
      </c>
      <c r="U47" s="584" cm="1">
        <f t="array" ref="U47">_xlfn.IFS($B$38=0,U45-U46,$B$39=0,0,U46=0,U45,$B$40=0,0,U44=$B$39,U45,U45&lt;=0,0,U44&lt;=$B$39,U45-PV($B$38/12,12*($B$39-U$44),-$B$41))</f>
        <v>0</v>
      </c>
      <c r="V47" s="584" cm="1">
        <f t="array" ref="V47">_xlfn.IFS($B$38=0,V45-V46,$B$39=0,0,V46=0,V45,$B$40=0,0,V44=$B$39,V45,V45&lt;=0,0,V44&lt;=$B$39,V45-PV($B$38/12,12*($B$39-V$44),-$B$41))</f>
        <v>0</v>
      </c>
      <c r="W47" s="584" cm="1">
        <f t="array" ref="W47">_xlfn.IFS($B$38=0,W45-W46,$B$39=0,0,W46=0,W45,$B$40=0,0,W44=$B$39,W45,W45&lt;=0,0,W44&lt;=$B$39,W45-PV($B$38/12,12*($B$39-W$44),-$B$41))</f>
        <v>0</v>
      </c>
      <c r="X47" s="584" cm="1">
        <f t="array" ref="X47">_xlfn.IFS($B$38=0,X45-X46,$B$39=0,0,X46=0,X45,$B$40=0,0,X44=$B$39,X45,X45&lt;=0,0,X44&lt;=$B$39,X45-PV($B$38/12,12*($B$39-X$44),-$B$41))</f>
        <v>0</v>
      </c>
      <c r="Y47" s="584" cm="1">
        <f t="array" ref="Y47">_xlfn.IFS($B$38=0,Y45-Y46,$B$39=0,0,Y46=0,Y45,$B$40=0,0,Y44=$B$39,Y45,Y45&lt;=0,0,Y44&lt;=$B$39,Y45-PV($B$38/12,12*($B$39-Y$44),-$B$41))</f>
        <v>0</v>
      </c>
      <c r="Z47" s="584" cm="1">
        <f t="array" ref="Z47">_xlfn.IFS($B$38=0,Z45-Z46,$B$39=0,0,Z46=0,Z45,$B$40=0,0,Z44=$B$39,Z45,Z45&lt;=0,0,Z44&lt;=$B$39,Z45-PV($B$38/12,12*($B$39-Z$44),-$B$41))</f>
        <v>0</v>
      </c>
      <c r="AA47" s="584" cm="1">
        <f t="array" ref="AA47">_xlfn.IFS($B$38=0,AA45-AA46,$B$39=0,0,AA46=0,AA45,$B$40=0,0,AA44=$B$39,AA45,AA45&lt;=0,0,AA44&lt;=$B$39,AA45-PV($B$38/12,12*($B$39-AA$44),-$B$41))</f>
        <v>0</v>
      </c>
      <c r="AB47" s="584" cm="1">
        <f t="array" ref="AB47">_xlfn.IFS($B$38=0,AB45-AB46,$B$39=0,0,AB46=0,AB45,$B$40=0,0,AB44=$B$39,AB45,AB45&lt;=0,0,AB44&lt;=$B$39,AB45-PV($B$38/12,12*($B$39-AB$44),-$B$41))</f>
        <v>0</v>
      </c>
      <c r="AC47" s="584" cm="1">
        <f t="array" ref="AC47">_xlfn.IFS($B$38=0,AC45-AC46,$B$39=0,0,AC46=0,AC45,$B$40=0,0,AC44=$B$39,AC45,AC45&lt;=0,0,AC44&lt;=$B$39,AC45-PV($B$38/12,12*($B$39-AC$44),-$B$41))</f>
        <v>0</v>
      </c>
      <c r="AD47" s="584" cm="1">
        <f t="array" ref="AD47">_xlfn.IFS($B$38=0,AD45-AD46,$B$39=0,0,AD46=0,AD45,$B$40=0,0,AD44=$B$39,AD45,AD45&lt;=0,0,AD44&lt;=$B$39,AD45-PV($B$38/12,12*($B$39-AD$44),-$B$41))</f>
        <v>0</v>
      </c>
      <c r="AE47" s="584" cm="1">
        <f t="array" ref="AE47">_xlfn.IFS($B$38=0,AE45-AE46,$B$39=0,0,AE46=0,AE45,$B$40=0,0,AE44=$B$39,AE45,AE45&lt;=0,0,AE44&lt;=$B$39,AE45-PV($B$38/12,12*($B$39-AE$44),-$B$41))</f>
        <v>0</v>
      </c>
      <c r="AF47" s="584" cm="1">
        <f t="array" ref="AF47">_xlfn.IFS($B$38=0,AF45-AF46,$B$39=0,0,AF46=0,AF45,$B$40=0,0,AF44=$B$39,AF45,AF45&lt;=0,0,AF44&lt;=$B$39,AF45-PV($B$38/12,12*($B$39-AF$44),-$B$41))</f>
        <v>0</v>
      </c>
      <c r="AG47" s="584" cm="1">
        <f t="array" ref="AG47">_xlfn.IFS($B$38=0,AG45-AG46,$B$39=0,0,AG46=0,AG45,$B$40=0,0,AG44=$B$39,AG45,AG45&lt;=0,0,AG44&lt;=$B$39,AG45-PV($B$38/12,12*($B$39-AG$44),-$B$41))</f>
        <v>0</v>
      </c>
      <c r="AH47" s="584" cm="1">
        <f t="array" ref="AH47">_xlfn.IFS($B$38=0,AH45-AH46,$B$39=0,0,AH46=0,AH45,$B$40=0,0,AH44=$B$39,AH45,AH45&lt;=0,0,AH44&lt;=$B$39,AH45-PV($B$38/12,12*($B$39-AH$44),-$B$41))</f>
        <v>0</v>
      </c>
      <c r="AI47" s="584" cm="1">
        <f t="array" ref="AI47">_xlfn.IFS($B$38=0,AI45-AI46,$B$39=0,0,AI46=0,AI45,$B$40=0,0,AI44=$B$39,AI45,AI45&lt;=0,0,AI44&lt;=$B$39,AI45-PV($B$38/12,12*($B$39-AI$44),-$B$41))</f>
        <v>0</v>
      </c>
      <c r="AJ47" s="584" cm="1">
        <f t="array" ref="AJ47">_xlfn.IFS($B$38=0,AJ45-AJ46,$B$39=0,0,AJ46=0,AJ45,$B$40=0,0,AJ44=$B$39,AJ45,AJ45&lt;=0,0,AJ44&lt;=$B$39,AJ45-PV($B$38/12,12*($B$39-AJ$44),-$B$41))</f>
        <v>0</v>
      </c>
      <c r="AK47" s="584" cm="1">
        <f t="array" ref="AK47">_xlfn.IFS($B$38=0,AK45-AK46,$B$39=0,0,AK46=0,AK45,$B$40=0,0,AK44=$B$39,AK45,AK45&lt;=0,0,AK44&lt;=$B$39,AK45-PV($B$38/12,12*($B$39-AK$44),-$B$41))</f>
        <v>0</v>
      </c>
      <c r="AL47" s="584" cm="1">
        <f t="array" ref="AL47">_xlfn.IFS($B$38=0,AL45-AL46,$B$39=0,0,AL46=0,AL45,$B$40=0,0,AL44=$B$39,AL45,AL45&lt;=0,0,AL44&lt;=$B$39,AL45-PV($B$38/12,12*($B$39-AL$44),-$B$41))</f>
        <v>0</v>
      </c>
      <c r="AM47" s="584" cm="1">
        <f t="array" ref="AM47">_xlfn.IFS($B$38=0,AM45-AM46,$B$39=0,0,AM46=0,AM45,$B$40=0,0,AM44=$B$39,AM45,AM45&lt;=0,0,AM44&lt;=$B$39,AM45-PV($B$38/12,12*($B$39-AM$44),-$B$41))</f>
        <v>0</v>
      </c>
      <c r="AN47" s="584" cm="1">
        <f t="array" ref="AN47">_xlfn.IFS($B$38=0,AN45-AN46,$B$39=0,0,AN46=0,AN45,$B$40=0,0,AN44=$B$39,AN45,AN45&lt;=0,0,AN44&lt;=$B$39,AN45-PV($B$38/12,12*($B$39-AN$44),-$B$41))</f>
        <v>0</v>
      </c>
      <c r="AO47" s="584" cm="1">
        <f t="array" ref="AO47">_xlfn.IFS($B$38=0,AO45-AO46,$B$39=0,0,AO46=0,AO45,$B$40=0,0,AO44=$B$39,AO45,AO45&lt;=0,0,AO44&lt;=$B$39,AO45-PV($B$38/12,12*($B$39-AO$44),-$B$41))</f>
        <v>0</v>
      </c>
    </row>
    <row r="48" spans="1:41" outlineLevel="1">
      <c r="A48" s="590" t="s">
        <v>681</v>
      </c>
      <c r="B48" s="584">
        <f>IF(B38&gt;0,$B$42-B47,0)</f>
        <v>0</v>
      </c>
      <c r="C48" s="584" cm="1">
        <f t="array" ref="C48">_xlfn.IFS(C$45=0,0,$B$38=0,0,AND(C47=0,$B$42&gt;0),$B$42,C44&lt;=$B$39,$B$42-(C45-PV($B$38/12,12*($B$39-C$44),-$B$41)))</f>
        <v>0</v>
      </c>
      <c r="D48" s="584" cm="1">
        <f t="array" ref="D48">_xlfn.IFS(D$45=0,0,$B$38=0,0,AND(D47=0,$B$42&gt;0),$B$42,D44&lt;=$B$39,$B$42-(D45-PV($B$38/12,12*(-D$44+$B$39),-$B$41)))</f>
        <v>0</v>
      </c>
      <c r="E48" s="584" cm="1">
        <f t="array" ref="E48">_xlfn.IFS(E$45=0,0,$B$38=0,0,AND(E47=0,$B$42&gt;0),$B$42,E44&lt;=$B$39,$B$42-(E45-PV($B$38/12,12*(-E$44+$B$39),-$B$41)))</f>
        <v>0</v>
      </c>
      <c r="F48" s="584" cm="1">
        <f t="array" ref="F48">_xlfn.IFS(F$45=0,0,$B$38=0,0,AND(F47=0,$B$42&gt;0),$B$42,F44&lt;=$B$39,$B$42-(F45-PV($B$38/12,12*(-F$44+$B$39),-$B$41)))</f>
        <v>0</v>
      </c>
      <c r="G48" s="584" cm="1">
        <f t="array" ref="G48">_xlfn.IFS(G$45=0,0,$B$38=0,0,AND(G47=0,$B$42&gt;0),$B$42,G44&lt;=$B$39,$B$42-(G45-PV($B$38/12,12*(-G$44+$B$39),-$B$41)))</f>
        <v>0</v>
      </c>
      <c r="H48" s="584" cm="1">
        <f t="array" ref="H48">_xlfn.IFS(H$45=0,0,$B$38=0,0,AND(H47=0,$B$42&gt;0),$B$42,H44&lt;=$B$39,$B$42-(H45-PV($B$38/12,12*(-H$44+$B$39),-$B$41)))</f>
        <v>0</v>
      </c>
      <c r="I48" s="584" cm="1">
        <f t="array" ref="I48">_xlfn.IFS(I$45=0,0,$B$38=0,0,AND(I47=0,$B$42&gt;0),$B$42,I44&lt;=$B$39,$B$42-(I45-PV($B$38/12,12*(-I$44+$B$39),-$B$41)))</f>
        <v>0</v>
      </c>
      <c r="J48" s="584" cm="1">
        <f t="array" ref="J48">_xlfn.IFS(J$45=0,0,$B$38=0,0,AND(J47=0,$B$42&gt;0),$B$42,J44&lt;=$B$39,$B$42-(J45-PV($B$38/12,12*(-J$44+$B$39),-$B$41)))</f>
        <v>0</v>
      </c>
      <c r="K48" s="584" cm="1">
        <f t="array" ref="K48">_xlfn.IFS(K$45=0,0,$B$38=0,0,AND(K47=0,$B$42&gt;0),$B$42,K44&lt;=$B$39,$B$42-(K45-PV($B$38/12,12*(-K$44+$B$39),-$B$41)))</f>
        <v>0</v>
      </c>
      <c r="L48" s="584" cm="1">
        <f t="array" ref="L48">_xlfn.IFS(L$45=0,0,$B$38=0,0,AND(L47=0,$B$42&gt;0),$B$42,L44&lt;=$B$39,$B$42-(L45-PV($B$38/12,12*(-L$44+$B$39),-$B$41)))</f>
        <v>0</v>
      </c>
      <c r="M48" s="584" cm="1">
        <f t="array" ref="M48">_xlfn.IFS(M$45=0,0,$B$38=0,0,AND(M47=0,$B$42&gt;0),$B$42,M44&lt;=$B$39,$B$42-(M45-PV($B$38/12,12*(-M$44+$B$39),-$B$41)))</f>
        <v>0</v>
      </c>
      <c r="N48" s="584" cm="1">
        <f t="array" ref="N48">_xlfn.IFS(N$45=0,0,$B$38=0,0,AND(N47=0,$B$42&gt;0),$B$42,N44&lt;=$B$39,$B$42-(N45-PV($B$38/12,12*(-N$44+$B$39),-$B$41)))</f>
        <v>0</v>
      </c>
      <c r="O48" s="584" cm="1">
        <f t="array" ref="O48">_xlfn.IFS(O$45=0,0,$B$38=0,0,AND(O47=0,$B$42&gt;0),$B$42,O44&lt;=$B$39,$B$42-(O45-PV($B$38/12,12*(-O$44+$B$39),-$B$41)))</f>
        <v>0</v>
      </c>
      <c r="P48" s="584" cm="1">
        <f t="array" ref="P48">_xlfn.IFS(P$45=0,0,$B$38=0,0,AND(P47=0,$B$42&gt;0),$B$42,P44&lt;=$B$39,$B$42-(P45-PV($B$38/12,12*(-P$44+$B$39),-$B$41)))</f>
        <v>0</v>
      </c>
      <c r="Q48" s="584" cm="1">
        <f t="array" ref="Q48">_xlfn.IFS(Q$45=0,0,$B$38=0,0,AND(Q47=0,$B$42&gt;0),$B$42,Q44&lt;=$B$39,$B$42-(Q45-PV($B$38/12,12*(-Q$44+$B$39),-$B$41)))</f>
        <v>0</v>
      </c>
      <c r="R48" s="584" cm="1">
        <f t="array" ref="R48">_xlfn.IFS(R$45=0,0,$B$38=0,0,AND(R47=0,$B$42&gt;0),$B$42,R44&lt;=$B$39,$B$42-(R45-PV($B$38/12,12*(-R$44+$B$39),-$B$41)))</f>
        <v>0</v>
      </c>
      <c r="S48" s="584" cm="1">
        <f t="array" ref="S48">_xlfn.IFS(S$45=0,0,$B$38=0,0,AND(S47=0,$B$42&gt;0),$B$42,S44&lt;=$B$39,$B$42-(S45-PV($B$38/12,12*(-S$44+$B$39),-$B$41)))</f>
        <v>0</v>
      </c>
      <c r="T48" s="584" cm="1">
        <f t="array" ref="T48">_xlfn.IFS(T$45=0,0,$B$38=0,0,AND(T47=0,$B$42&gt;0),$B$42,T44&lt;=$B$39,$B$42-(T45-PV($B$38/12,12*(-T$44+$B$39),-$B$41)))</f>
        <v>0</v>
      </c>
      <c r="U48" s="584" cm="1">
        <f t="array" ref="U48">_xlfn.IFS(U$45=0,0,$B$38=0,0,AND(U47=0,$B$42&gt;0),$B$42,U44&lt;=$B$39,$B$42-(U45-PV($B$38/12,12*(-U$44+$B$39),-$B$41)))</f>
        <v>0</v>
      </c>
      <c r="V48" s="584" cm="1">
        <f t="array" ref="V48">_xlfn.IFS(V$45=0,0,$B$38=0,0,AND(V47=0,$B$42&gt;0),$B$42,V44&lt;=$B$39,$B$42-(V45-PV($B$38/12,12*(-V$44+$B$39),-$B$41)))</f>
        <v>0</v>
      </c>
      <c r="W48" s="584" cm="1">
        <f t="array" ref="W48">_xlfn.IFS(W$45=0,0,$B$38=0,0,AND(W47=0,$B$42&gt;0),$B$42,W44&lt;=$B$39,$B$42-(W45-PV($B$38/12,12*(-W$44+$B$39),-$B$41)))</f>
        <v>0</v>
      </c>
      <c r="X48" s="584" cm="1">
        <f t="array" ref="X48">_xlfn.IFS(X$45=0,0,$B$38=0,0,AND(X47=0,$B$42&gt;0),$B$42,X44&lt;=$B$39,$B$42-(X45-PV($B$38/12,12*(-X$44+$B$39),-$B$41)))</f>
        <v>0</v>
      </c>
      <c r="Y48" s="584" cm="1">
        <f t="array" ref="Y48">_xlfn.IFS(Y$45=0,0,$B$38=0,0,AND(Y47=0,$B$42&gt;0),$B$42,Y44&lt;=$B$39,$B$42-(Y45-PV($B$38/12,12*(-Y$44+$B$39),-$B$41)))</f>
        <v>0</v>
      </c>
      <c r="Z48" s="584" cm="1">
        <f t="array" ref="Z48">_xlfn.IFS(Z$45=0,0,$B$38=0,0,AND(Z47=0,$B$42&gt;0),$B$42,Z44&lt;=$B$39,$B$42-(Z45-PV($B$38/12,12*(-Z$44+$B$39),-$B$41)))</f>
        <v>0</v>
      </c>
      <c r="AA48" s="584" cm="1">
        <f t="array" ref="AA48">_xlfn.IFS(AA$45=0,0,$B$38=0,0,AND(AA47=0,$B$42&gt;0),$B$42,AA44&lt;=$B$39,$B$42-(AA45-PV($B$38/12,12*(-AA$44+$B$39),-$B$41)))</f>
        <v>0</v>
      </c>
      <c r="AB48" s="584" cm="1">
        <f t="array" ref="AB48">_xlfn.IFS(AB$45=0,0,$B$38=0,0,AND(AB47=0,$B$42&gt;0),$B$42,AB44&lt;=$B$39,$B$42-(AB45-PV($B$38/12,12*(-AB$44+$B$39),-$B$41)))</f>
        <v>0</v>
      </c>
      <c r="AC48" s="584" cm="1">
        <f t="array" ref="AC48">_xlfn.IFS(AC$45=0,0,$B$38=0,0,AND(AC47=0,$B$42&gt;0),$B$42,AC44&lt;=$B$39,$B$42-(AC45-PV($B$38/12,12*(-AC$44+$B$39),-$B$41)))</f>
        <v>0</v>
      </c>
      <c r="AD48" s="584" cm="1">
        <f t="array" ref="AD48">_xlfn.IFS(AD$45=0,0,$B$38=0,0,AND(AD47=0,$B$42&gt;0),$B$42,AD44&lt;=$B$39,$B$42-(AD45-PV($B$38/12,12*(-AD$44+$B$39),-$B$41)))</f>
        <v>0</v>
      </c>
      <c r="AE48" s="584" cm="1">
        <f t="array" ref="AE48">_xlfn.IFS(AE$45=0,0,$B$38=0,0,AND(AE47=0,$B$42&gt;0),$B$42,AE44&lt;=$B$39,$B$42-(AE45-PV($B$38/12,12*(-AE$44+$B$39),-$B$41)))</f>
        <v>0</v>
      </c>
      <c r="AF48" s="584" cm="1">
        <f t="array" ref="AF48">_xlfn.IFS(AF$45=0,0,$B$38=0,0,AND(AF47=0,$B$42&gt;0),$B$42,AF44&lt;=$B$39,$B$42-(AF45-PV($B$38/12,12*(-AF$44+$B$39),-$B$41)))</f>
        <v>0</v>
      </c>
      <c r="AG48" s="584" cm="1">
        <f t="array" ref="AG48">_xlfn.IFS(AG$45=0,0,$B$38=0,0,AND(AG47=0,$B$42&gt;0),$B$42,AG44&lt;=$B$39,$B$42-(AG45-PV($B$38/12,12*(-AG$44+$B$39),-$B$41)))</f>
        <v>0</v>
      </c>
      <c r="AH48" s="584" cm="1">
        <f t="array" ref="AH48">_xlfn.IFS(AH$45=0,0,$B$38=0,0,AND(AH47=0,$B$42&gt;0),$B$42,AH44&lt;=$B$39,$B$42-(AH45-PV($B$38/12,12*(-AH$44+$B$39),-$B$41)))</f>
        <v>0</v>
      </c>
      <c r="AI48" s="584" cm="1">
        <f t="array" ref="AI48">_xlfn.IFS(AI$45=0,0,$B$38=0,0,AND(AI47=0,$B$42&gt;0),$B$42,AI44&lt;=$B$39,$B$42-(AI45-PV($B$38/12,12*(-AI$44+$B$39),-$B$41)))</f>
        <v>0</v>
      </c>
      <c r="AJ48" s="584" cm="1">
        <f t="array" ref="AJ48">_xlfn.IFS(AJ$45=0,0,$B$38=0,0,AND(AJ47=0,$B$42&gt;0),$B$42,AJ44&lt;=$B$39,$B$42-(AJ45-PV($B$38/12,12*(-AJ$44+$B$39),-$B$41)))</f>
        <v>0</v>
      </c>
      <c r="AK48" s="584" cm="1">
        <f t="array" ref="AK48">_xlfn.IFS(AK$45=0,0,$B$38=0,0,AND(AK47=0,$B$42&gt;0),$B$42,AK44&lt;=$B$39,$B$42-(AK45-PV($B$38/12,12*(-AK$44+$B$39),-$B$41)))</f>
        <v>0</v>
      </c>
      <c r="AL48" s="584" cm="1">
        <f t="array" ref="AL48">_xlfn.IFS(AL$45=0,0,$B$38=0,0,AND(AL47=0,$B$42&gt;0),$B$42,AL44&lt;=$B$39,$B$42-(AL45-PV($B$38/12,12*(-AL$44+$B$39),-$B$41)))</f>
        <v>0</v>
      </c>
      <c r="AM48" s="584" cm="1">
        <f t="array" ref="AM48">_xlfn.IFS(AM$45=0,0,$B$38=0,0,AND(AM47=0,$B$42&gt;0),$B$42,AM44&lt;=$B$39,$B$42-(AM45-PV($B$38/12,12*(-AM$44+$B$39),-$B$41)))</f>
        <v>0</v>
      </c>
      <c r="AN48" s="584" cm="1">
        <f t="array" ref="AN48">_xlfn.IFS(AN$45=0,0,$B$38=0,0,AND(AN47=0,$B$42&gt;0),$B$42,AN44&lt;=$B$39,$B$42-(AN45-PV($B$38/12,12*(-AN$44+$B$39),-$B$41)))</f>
        <v>0</v>
      </c>
      <c r="AO48" s="584" cm="1">
        <f t="array" ref="AO48">_xlfn.IFS(AO$45=0,0,$B$38=0,0,AND(AO47=0,$B$42&gt;0),$B$42,AO44&lt;=$B$39,$B$42-(AO45-PV($B$38/12,12*(-AO$44+$B$39),-$B$41)))</f>
        <v>0</v>
      </c>
    </row>
    <row r="49" spans="1:41" outlineLevel="1">
      <c r="A49" s="590" t="s">
        <v>689</v>
      </c>
      <c r="B49" s="584">
        <f>B47+B48</f>
        <v>0</v>
      </c>
      <c r="C49" s="584">
        <f t="shared" ref="C49" si="94">C47+C48</f>
        <v>0</v>
      </c>
      <c r="D49" s="584">
        <f t="shared" ref="D49:AE49" si="95">D47+D48</f>
        <v>0</v>
      </c>
      <c r="E49" s="584">
        <f t="shared" si="95"/>
        <v>0</v>
      </c>
      <c r="F49" s="584">
        <f t="shared" si="95"/>
        <v>0</v>
      </c>
      <c r="G49" s="584">
        <f t="shared" si="95"/>
        <v>0</v>
      </c>
      <c r="H49" s="584">
        <f t="shared" si="95"/>
        <v>0</v>
      </c>
      <c r="I49" s="584">
        <f t="shared" si="95"/>
        <v>0</v>
      </c>
      <c r="J49" s="584">
        <f t="shared" si="95"/>
        <v>0</v>
      </c>
      <c r="K49" s="584">
        <f t="shared" si="95"/>
        <v>0</v>
      </c>
      <c r="L49" s="584">
        <f t="shared" si="95"/>
        <v>0</v>
      </c>
      <c r="M49" s="584">
        <f t="shared" si="95"/>
        <v>0</v>
      </c>
      <c r="N49" s="584">
        <f t="shared" si="95"/>
        <v>0</v>
      </c>
      <c r="O49" s="584">
        <f t="shared" si="95"/>
        <v>0</v>
      </c>
      <c r="P49" s="584">
        <f t="shared" si="95"/>
        <v>0</v>
      </c>
      <c r="Q49" s="584">
        <f t="shared" si="95"/>
        <v>0</v>
      </c>
      <c r="R49" s="584">
        <f t="shared" si="95"/>
        <v>0</v>
      </c>
      <c r="S49" s="584">
        <f t="shared" si="95"/>
        <v>0</v>
      </c>
      <c r="T49" s="584">
        <f t="shared" si="95"/>
        <v>0</v>
      </c>
      <c r="U49" s="584">
        <f t="shared" si="95"/>
        <v>0</v>
      </c>
      <c r="V49" s="584">
        <f t="shared" si="95"/>
        <v>0</v>
      </c>
      <c r="W49" s="584">
        <f t="shared" si="95"/>
        <v>0</v>
      </c>
      <c r="X49" s="584">
        <f t="shared" si="95"/>
        <v>0</v>
      </c>
      <c r="Y49" s="584">
        <f t="shared" si="95"/>
        <v>0</v>
      </c>
      <c r="Z49" s="584">
        <f t="shared" si="95"/>
        <v>0</v>
      </c>
      <c r="AA49" s="584">
        <f t="shared" si="95"/>
        <v>0</v>
      </c>
      <c r="AB49" s="584">
        <f t="shared" si="95"/>
        <v>0</v>
      </c>
      <c r="AC49" s="584">
        <f t="shared" si="95"/>
        <v>0</v>
      </c>
      <c r="AD49" s="584">
        <f t="shared" si="95"/>
        <v>0</v>
      </c>
      <c r="AE49" s="584">
        <f t="shared" si="95"/>
        <v>0</v>
      </c>
      <c r="AF49" s="584">
        <f t="shared" ref="AF49:AO49" si="96">AF47+AF48</f>
        <v>0</v>
      </c>
      <c r="AG49" s="584">
        <f t="shared" si="96"/>
        <v>0</v>
      </c>
      <c r="AH49" s="584">
        <f t="shared" si="96"/>
        <v>0</v>
      </c>
      <c r="AI49" s="584">
        <f t="shared" si="96"/>
        <v>0</v>
      </c>
      <c r="AJ49" s="584">
        <f t="shared" si="96"/>
        <v>0</v>
      </c>
      <c r="AK49" s="584">
        <f t="shared" si="96"/>
        <v>0</v>
      </c>
      <c r="AL49" s="584">
        <f t="shared" si="96"/>
        <v>0</v>
      </c>
      <c r="AM49" s="584">
        <f t="shared" si="96"/>
        <v>0</v>
      </c>
      <c r="AN49" s="584">
        <f t="shared" si="96"/>
        <v>0</v>
      </c>
      <c r="AO49" s="584">
        <f t="shared" si="96"/>
        <v>0</v>
      </c>
    </row>
    <row r="50" spans="1:41" outlineLevel="1">
      <c r="A50" s="590"/>
    </row>
    <row r="51" spans="1:41" outlineLevel="1">
      <c r="A51" s="585" t="str">
        <f>assumptions!A24</f>
        <v>VHFA LIAC Permanent Debt</v>
      </c>
    </row>
    <row r="52" spans="1:41" outlineLevel="1">
      <c r="A52" s="585"/>
    </row>
    <row r="53" spans="1:41" outlineLevel="1">
      <c r="A53" s="586" t="s">
        <v>680</v>
      </c>
      <c r="B53" s="584">
        <f>assumptions!B24</f>
        <v>0</v>
      </c>
    </row>
    <row r="54" spans="1:41" outlineLevel="1">
      <c r="A54" s="586" t="s">
        <v>681</v>
      </c>
      <c r="B54" s="587">
        <f>assumptions!D24</f>
        <v>0</v>
      </c>
    </row>
    <row r="55" spans="1:41" outlineLevel="1">
      <c r="A55" s="586" t="s">
        <v>682</v>
      </c>
      <c r="B55" s="584">
        <f>assumptions!E24</f>
        <v>0</v>
      </c>
    </row>
    <row r="56" spans="1:41" outlineLevel="1">
      <c r="A56" s="586" t="s">
        <v>683</v>
      </c>
      <c r="B56" s="584">
        <f>assumptions!F24</f>
        <v>0</v>
      </c>
    </row>
    <row r="57" spans="1:41" outlineLevel="1">
      <c r="A57" s="586" t="s">
        <v>684</v>
      </c>
      <c r="B57" s="584">
        <f>IF(B53=0,0,PMT(B54/12,B55*12,-B53))</f>
        <v>0</v>
      </c>
    </row>
    <row r="58" spans="1:41" outlineLevel="1">
      <c r="A58" s="586" t="s">
        <v>685</v>
      </c>
      <c r="B58" s="584">
        <f>B57*12</f>
        <v>0</v>
      </c>
    </row>
    <row r="59" spans="1:41" outlineLevel="1"/>
    <row r="60" spans="1:41" outlineLevel="1">
      <c r="A60" s="588" t="s">
        <v>686</v>
      </c>
      <c r="B60" s="589">
        <v>1</v>
      </c>
      <c r="C60" s="589">
        <f t="shared" ref="C60" si="97">B60+1</f>
        <v>2</v>
      </c>
      <c r="D60" s="589">
        <f t="shared" ref="D60" si="98">C60+1</f>
        <v>3</v>
      </c>
      <c r="E60" s="589">
        <f t="shared" ref="E60" si="99">D60+1</f>
        <v>4</v>
      </c>
      <c r="F60" s="589">
        <f t="shared" ref="F60" si="100">E60+1</f>
        <v>5</v>
      </c>
      <c r="G60" s="589">
        <f t="shared" ref="G60" si="101">F60+1</f>
        <v>6</v>
      </c>
      <c r="H60" s="589">
        <f t="shared" ref="H60" si="102">G60+1</f>
        <v>7</v>
      </c>
      <c r="I60" s="589">
        <f t="shared" ref="I60" si="103">H60+1</f>
        <v>8</v>
      </c>
      <c r="J60" s="589">
        <f t="shared" ref="J60" si="104">I60+1</f>
        <v>9</v>
      </c>
      <c r="K60" s="589">
        <f t="shared" ref="K60" si="105">J60+1</f>
        <v>10</v>
      </c>
      <c r="L60" s="589">
        <f t="shared" ref="L60" si="106">K60+1</f>
        <v>11</v>
      </c>
      <c r="M60" s="589">
        <f t="shared" ref="M60" si="107">L60+1</f>
        <v>12</v>
      </c>
      <c r="N60" s="589">
        <f t="shared" ref="N60" si="108">M60+1</f>
        <v>13</v>
      </c>
      <c r="O60" s="589">
        <f t="shared" ref="O60" si="109">N60+1</f>
        <v>14</v>
      </c>
      <c r="P60" s="589">
        <f t="shared" ref="P60" si="110">O60+1</f>
        <v>15</v>
      </c>
      <c r="Q60" s="589">
        <f t="shared" ref="Q60" si="111">P60+1</f>
        <v>16</v>
      </c>
      <c r="R60" s="589">
        <f t="shared" ref="R60" si="112">Q60+1</f>
        <v>17</v>
      </c>
      <c r="S60" s="589">
        <f t="shared" ref="S60" si="113">R60+1</f>
        <v>18</v>
      </c>
      <c r="T60" s="589">
        <f t="shared" ref="T60" si="114">S60+1</f>
        <v>19</v>
      </c>
      <c r="U60" s="589">
        <f t="shared" ref="U60" si="115">T60+1</f>
        <v>20</v>
      </c>
      <c r="V60" s="589">
        <f t="shared" ref="V60" si="116">U60+1</f>
        <v>21</v>
      </c>
      <c r="W60" s="589">
        <f t="shared" ref="W60" si="117">V60+1</f>
        <v>22</v>
      </c>
      <c r="X60" s="589">
        <f t="shared" ref="X60" si="118">W60+1</f>
        <v>23</v>
      </c>
      <c r="Y60" s="589">
        <f t="shared" ref="Y60" si="119">X60+1</f>
        <v>24</v>
      </c>
      <c r="Z60" s="589">
        <f t="shared" ref="Z60" si="120">Y60+1</f>
        <v>25</v>
      </c>
      <c r="AA60" s="589">
        <f t="shared" ref="AA60" si="121">Z60+1</f>
        <v>26</v>
      </c>
      <c r="AB60" s="589">
        <f t="shared" ref="AB60" si="122">AA60+1</f>
        <v>27</v>
      </c>
      <c r="AC60" s="589">
        <f t="shared" ref="AC60" si="123">AB60+1</f>
        <v>28</v>
      </c>
      <c r="AD60" s="589">
        <f t="shared" ref="AD60" si="124">AC60+1</f>
        <v>29</v>
      </c>
      <c r="AE60" s="589">
        <f t="shared" ref="AE60" si="125">AD60+1</f>
        <v>30</v>
      </c>
      <c r="AF60" s="589">
        <f t="shared" ref="AF60" si="126">AE60+1</f>
        <v>31</v>
      </c>
      <c r="AG60" s="589">
        <f t="shared" ref="AG60" si="127">AF60+1</f>
        <v>32</v>
      </c>
      <c r="AH60" s="589">
        <f t="shared" ref="AH60" si="128">AG60+1</f>
        <v>33</v>
      </c>
      <c r="AI60" s="589">
        <f t="shared" ref="AI60" si="129">AH60+1</f>
        <v>34</v>
      </c>
      <c r="AJ60" s="589">
        <f t="shared" ref="AJ60" si="130">AI60+1</f>
        <v>35</v>
      </c>
      <c r="AK60" s="589">
        <f t="shared" ref="AK60" si="131">AJ60+1</f>
        <v>36</v>
      </c>
      <c r="AL60" s="589">
        <f t="shared" ref="AL60" si="132">AK60+1</f>
        <v>37</v>
      </c>
      <c r="AM60" s="589">
        <f t="shared" ref="AM60" si="133">AL60+1</f>
        <v>38</v>
      </c>
      <c r="AN60" s="589">
        <f t="shared" ref="AN60" si="134">AM60+1</f>
        <v>39</v>
      </c>
      <c r="AO60" s="589">
        <f t="shared" ref="AO60" si="135">AN60+1</f>
        <v>40</v>
      </c>
    </row>
    <row r="61" spans="1:41" outlineLevel="1">
      <c r="A61" s="590" t="s">
        <v>687</v>
      </c>
      <c r="B61" s="584">
        <f>B53</f>
        <v>0</v>
      </c>
      <c r="C61" s="584">
        <f>B62</f>
        <v>0</v>
      </c>
      <c r="D61" s="584">
        <f t="shared" ref="D61" si="136">C62</f>
        <v>0</v>
      </c>
      <c r="E61" s="584">
        <f t="shared" ref="E61" si="137">D62</f>
        <v>0</v>
      </c>
      <c r="F61" s="584">
        <f t="shared" ref="F61" si="138">E62</f>
        <v>0</v>
      </c>
      <c r="G61" s="584">
        <f t="shared" ref="G61" si="139">F62</f>
        <v>0</v>
      </c>
      <c r="H61" s="584">
        <f t="shared" ref="H61" si="140">G62</f>
        <v>0</v>
      </c>
      <c r="I61" s="584">
        <f t="shared" ref="I61" si="141">H62</f>
        <v>0</v>
      </c>
      <c r="J61" s="584">
        <f t="shared" ref="J61" si="142">I62</f>
        <v>0</v>
      </c>
      <c r="K61" s="584">
        <f t="shared" ref="K61" si="143">J62</f>
        <v>0</v>
      </c>
      <c r="L61" s="584">
        <f t="shared" ref="L61" si="144">K62</f>
        <v>0</v>
      </c>
      <c r="M61" s="584">
        <f t="shared" ref="M61" si="145">L62</f>
        <v>0</v>
      </c>
      <c r="N61" s="584">
        <f t="shared" ref="N61" si="146">M62</f>
        <v>0</v>
      </c>
      <c r="O61" s="584">
        <f t="shared" ref="O61" si="147">N62</f>
        <v>0</v>
      </c>
      <c r="P61" s="584">
        <f t="shared" ref="P61" si="148">O62</f>
        <v>0</v>
      </c>
      <c r="Q61" s="584">
        <f t="shared" ref="Q61" si="149">P62</f>
        <v>0</v>
      </c>
      <c r="R61" s="584">
        <f t="shared" ref="R61" si="150">Q62</f>
        <v>0</v>
      </c>
      <c r="S61" s="584">
        <f t="shared" ref="S61" si="151">R62</f>
        <v>0</v>
      </c>
      <c r="T61" s="584">
        <f t="shared" ref="T61" si="152">S62</f>
        <v>0</v>
      </c>
      <c r="U61" s="584">
        <f t="shared" ref="U61" si="153">T62</f>
        <v>0</v>
      </c>
      <c r="V61" s="584">
        <f t="shared" ref="V61" si="154">U62</f>
        <v>0</v>
      </c>
      <c r="W61" s="584">
        <f t="shared" ref="W61" si="155">V62</f>
        <v>0</v>
      </c>
      <c r="X61" s="584">
        <f t="shared" ref="X61" si="156">W62</f>
        <v>0</v>
      </c>
      <c r="Y61" s="584">
        <f t="shared" ref="Y61" si="157">X62</f>
        <v>0</v>
      </c>
      <c r="Z61" s="584">
        <f t="shared" ref="Z61" si="158">Y62</f>
        <v>0</v>
      </c>
      <c r="AA61" s="584">
        <f t="shared" ref="AA61" si="159">Z62</f>
        <v>0</v>
      </c>
      <c r="AB61" s="584">
        <f t="shared" ref="AB61" si="160">AA62</f>
        <v>0</v>
      </c>
      <c r="AC61" s="584">
        <f t="shared" ref="AC61" si="161">AB62</f>
        <v>0</v>
      </c>
      <c r="AD61" s="584">
        <f t="shared" ref="AD61" si="162">AC62</f>
        <v>0</v>
      </c>
      <c r="AE61" s="584">
        <f t="shared" ref="AE61" si="163">AD62</f>
        <v>0</v>
      </c>
      <c r="AF61" s="584">
        <f t="shared" ref="AF61" si="164">AE62</f>
        <v>0</v>
      </c>
      <c r="AG61" s="584">
        <f t="shared" ref="AG61" si="165">AF62</f>
        <v>0</v>
      </c>
      <c r="AH61" s="584">
        <f t="shared" ref="AH61" si="166">AG62</f>
        <v>0</v>
      </c>
      <c r="AI61" s="584">
        <f t="shared" ref="AI61" si="167">AH62</f>
        <v>0</v>
      </c>
      <c r="AJ61" s="584">
        <f t="shared" ref="AJ61" si="168">AI62</f>
        <v>0</v>
      </c>
      <c r="AK61" s="584">
        <f t="shared" ref="AK61" si="169">AJ62</f>
        <v>0</v>
      </c>
      <c r="AL61" s="584">
        <f t="shared" ref="AL61" si="170">AK62</f>
        <v>0</v>
      </c>
      <c r="AM61" s="584">
        <f t="shared" ref="AM61" si="171">AL62</f>
        <v>0</v>
      </c>
      <c r="AN61" s="584">
        <f t="shared" ref="AN61" si="172">AM62</f>
        <v>0</v>
      </c>
      <c r="AO61" s="584">
        <f t="shared" ref="AO61" si="173">AN62</f>
        <v>0</v>
      </c>
    </row>
    <row r="62" spans="1:41" outlineLevel="1">
      <c r="A62" s="590" t="s">
        <v>688</v>
      </c>
      <c r="B62" s="584">
        <f>PV($B$54/12,12*($B$55-B$60),-$B$57)</f>
        <v>0</v>
      </c>
      <c r="C62" s="584">
        <f>IF($B$56&lt;=C60,0,PV($B$54/12,12*($B$55-C$60),-$B$57))</f>
        <v>0</v>
      </c>
      <c r="D62" s="584">
        <f>IF($B$56&lt;=D60,0,PV($B$54/12,12*($B$55-D$60),-$B$57))</f>
        <v>0</v>
      </c>
      <c r="E62" s="584">
        <f t="shared" ref="E62:AO62" si="174">IF($B$56&lt;=E60,0,PV($B$54/12,12*($B$55-E$60),-$B$57))</f>
        <v>0</v>
      </c>
      <c r="F62" s="584">
        <f t="shared" si="174"/>
        <v>0</v>
      </c>
      <c r="G62" s="584">
        <f t="shared" si="174"/>
        <v>0</v>
      </c>
      <c r="H62" s="584">
        <f t="shared" si="174"/>
        <v>0</v>
      </c>
      <c r="I62" s="584">
        <f t="shared" si="174"/>
        <v>0</v>
      </c>
      <c r="J62" s="584">
        <f t="shared" si="174"/>
        <v>0</v>
      </c>
      <c r="K62" s="584">
        <f t="shared" si="174"/>
        <v>0</v>
      </c>
      <c r="L62" s="584">
        <f t="shared" si="174"/>
        <v>0</v>
      </c>
      <c r="M62" s="584">
        <f t="shared" si="174"/>
        <v>0</v>
      </c>
      <c r="N62" s="584">
        <f t="shared" si="174"/>
        <v>0</v>
      </c>
      <c r="O62" s="584">
        <f t="shared" si="174"/>
        <v>0</v>
      </c>
      <c r="P62" s="584">
        <f t="shared" si="174"/>
        <v>0</v>
      </c>
      <c r="Q62" s="584">
        <f t="shared" si="174"/>
        <v>0</v>
      </c>
      <c r="R62" s="584">
        <f t="shared" si="174"/>
        <v>0</v>
      </c>
      <c r="S62" s="584">
        <f t="shared" si="174"/>
        <v>0</v>
      </c>
      <c r="T62" s="584">
        <f t="shared" si="174"/>
        <v>0</v>
      </c>
      <c r="U62" s="584">
        <f t="shared" si="174"/>
        <v>0</v>
      </c>
      <c r="V62" s="584">
        <f t="shared" si="174"/>
        <v>0</v>
      </c>
      <c r="W62" s="584">
        <f t="shared" si="174"/>
        <v>0</v>
      </c>
      <c r="X62" s="584">
        <f t="shared" si="174"/>
        <v>0</v>
      </c>
      <c r="Y62" s="584">
        <f t="shared" si="174"/>
        <v>0</v>
      </c>
      <c r="Z62" s="584">
        <f t="shared" si="174"/>
        <v>0</v>
      </c>
      <c r="AA62" s="584">
        <f t="shared" si="174"/>
        <v>0</v>
      </c>
      <c r="AB62" s="584">
        <f t="shared" si="174"/>
        <v>0</v>
      </c>
      <c r="AC62" s="584">
        <f t="shared" si="174"/>
        <v>0</v>
      </c>
      <c r="AD62" s="584">
        <f t="shared" si="174"/>
        <v>0</v>
      </c>
      <c r="AE62" s="584">
        <f t="shared" si="174"/>
        <v>0</v>
      </c>
      <c r="AF62" s="584">
        <f t="shared" si="174"/>
        <v>0</v>
      </c>
      <c r="AG62" s="584">
        <f t="shared" si="174"/>
        <v>0</v>
      </c>
      <c r="AH62" s="584">
        <f t="shared" si="174"/>
        <v>0</v>
      </c>
      <c r="AI62" s="584">
        <f t="shared" si="174"/>
        <v>0</v>
      </c>
      <c r="AJ62" s="584">
        <f t="shared" si="174"/>
        <v>0</v>
      </c>
      <c r="AK62" s="584">
        <f t="shared" si="174"/>
        <v>0</v>
      </c>
      <c r="AL62" s="584">
        <f t="shared" si="174"/>
        <v>0</v>
      </c>
      <c r="AM62" s="584">
        <f t="shared" si="174"/>
        <v>0</v>
      </c>
      <c r="AN62" s="584">
        <f t="shared" si="174"/>
        <v>0</v>
      </c>
      <c r="AO62" s="584">
        <f t="shared" si="174"/>
        <v>0</v>
      </c>
    </row>
    <row r="63" spans="1:41" outlineLevel="1">
      <c r="A63" s="590" t="s">
        <v>680</v>
      </c>
      <c r="B63" s="584">
        <f>B61-B62</f>
        <v>0</v>
      </c>
      <c r="C63" s="584">
        <f>IF($B$56&lt;=C60,C61,C61-PV($B$54/12,12*($B$55-C$60),-$B$57))</f>
        <v>0</v>
      </c>
      <c r="D63" s="584">
        <f t="shared" ref="D63:AO63" si="175">IF($B$56&lt;=D60,D61,D61-PV($B$54/12,12*($B$55-D$60),-$B$57))</f>
        <v>0</v>
      </c>
      <c r="E63" s="584">
        <f t="shared" si="175"/>
        <v>0</v>
      </c>
      <c r="F63" s="584">
        <f t="shared" si="175"/>
        <v>0</v>
      </c>
      <c r="G63" s="584">
        <f t="shared" si="175"/>
        <v>0</v>
      </c>
      <c r="H63" s="584">
        <f t="shared" si="175"/>
        <v>0</v>
      </c>
      <c r="I63" s="584">
        <f t="shared" si="175"/>
        <v>0</v>
      </c>
      <c r="J63" s="584">
        <f t="shared" si="175"/>
        <v>0</v>
      </c>
      <c r="K63" s="584">
        <f t="shared" si="175"/>
        <v>0</v>
      </c>
      <c r="L63" s="584">
        <f t="shared" si="175"/>
        <v>0</v>
      </c>
      <c r="M63" s="584">
        <f t="shared" si="175"/>
        <v>0</v>
      </c>
      <c r="N63" s="584">
        <f t="shared" si="175"/>
        <v>0</v>
      </c>
      <c r="O63" s="584">
        <f t="shared" si="175"/>
        <v>0</v>
      </c>
      <c r="P63" s="584">
        <f t="shared" si="175"/>
        <v>0</v>
      </c>
      <c r="Q63" s="584">
        <f t="shared" si="175"/>
        <v>0</v>
      </c>
      <c r="R63" s="584">
        <f t="shared" si="175"/>
        <v>0</v>
      </c>
      <c r="S63" s="584">
        <f t="shared" si="175"/>
        <v>0</v>
      </c>
      <c r="T63" s="584">
        <f t="shared" si="175"/>
        <v>0</v>
      </c>
      <c r="U63" s="584">
        <f t="shared" si="175"/>
        <v>0</v>
      </c>
      <c r="V63" s="584">
        <f t="shared" si="175"/>
        <v>0</v>
      </c>
      <c r="W63" s="584">
        <f t="shared" si="175"/>
        <v>0</v>
      </c>
      <c r="X63" s="584">
        <f t="shared" si="175"/>
        <v>0</v>
      </c>
      <c r="Y63" s="584">
        <f t="shared" si="175"/>
        <v>0</v>
      </c>
      <c r="Z63" s="584">
        <f t="shared" si="175"/>
        <v>0</v>
      </c>
      <c r="AA63" s="584">
        <f t="shared" si="175"/>
        <v>0</v>
      </c>
      <c r="AB63" s="584">
        <f t="shared" si="175"/>
        <v>0</v>
      </c>
      <c r="AC63" s="584">
        <f t="shared" si="175"/>
        <v>0</v>
      </c>
      <c r="AD63" s="584">
        <f t="shared" si="175"/>
        <v>0</v>
      </c>
      <c r="AE63" s="584">
        <f t="shared" si="175"/>
        <v>0</v>
      </c>
      <c r="AF63" s="584">
        <f t="shared" si="175"/>
        <v>0</v>
      </c>
      <c r="AG63" s="584">
        <f t="shared" si="175"/>
        <v>0</v>
      </c>
      <c r="AH63" s="584">
        <f t="shared" si="175"/>
        <v>0</v>
      </c>
      <c r="AI63" s="584">
        <f t="shared" si="175"/>
        <v>0</v>
      </c>
      <c r="AJ63" s="584">
        <f t="shared" si="175"/>
        <v>0</v>
      </c>
      <c r="AK63" s="584">
        <f t="shared" si="175"/>
        <v>0</v>
      </c>
      <c r="AL63" s="584">
        <f t="shared" si="175"/>
        <v>0</v>
      </c>
      <c r="AM63" s="584">
        <f t="shared" si="175"/>
        <v>0</v>
      </c>
      <c r="AN63" s="584">
        <f t="shared" si="175"/>
        <v>0</v>
      </c>
      <c r="AO63" s="584">
        <f t="shared" si="175"/>
        <v>0</v>
      </c>
    </row>
    <row r="64" spans="1:41" outlineLevel="1">
      <c r="A64" s="590" t="s">
        <v>681</v>
      </c>
      <c r="B64" s="584">
        <f>$B$58-B63</f>
        <v>0</v>
      </c>
      <c r="C64" s="584">
        <f>IF($B$56&gt;=C60,$B$58-(C61-PV($B$54/12,12*($B$55-C$60),-$B$57)),0)</f>
        <v>0</v>
      </c>
      <c r="D64" s="584">
        <f>IF($B$56&gt;=D60,$B$58-(D61-PV($B$54/12,12*($B$55-D$60),-$B$57)),0)</f>
        <v>0</v>
      </c>
      <c r="E64" s="584">
        <f t="shared" ref="E64:AO64" si="176">IF($B$56&gt;=E60,$B$58-(E61-PV($B$54/12,12*($B$55-E$60),-$B$57)),0)</f>
        <v>0</v>
      </c>
      <c r="F64" s="584">
        <f t="shared" si="176"/>
        <v>0</v>
      </c>
      <c r="G64" s="584">
        <f t="shared" si="176"/>
        <v>0</v>
      </c>
      <c r="H64" s="584">
        <f t="shared" si="176"/>
        <v>0</v>
      </c>
      <c r="I64" s="584">
        <f t="shared" si="176"/>
        <v>0</v>
      </c>
      <c r="J64" s="584">
        <f t="shared" si="176"/>
        <v>0</v>
      </c>
      <c r="K64" s="584">
        <f t="shared" si="176"/>
        <v>0</v>
      </c>
      <c r="L64" s="584">
        <f t="shared" si="176"/>
        <v>0</v>
      </c>
      <c r="M64" s="584">
        <f t="shared" si="176"/>
        <v>0</v>
      </c>
      <c r="N64" s="584">
        <f t="shared" si="176"/>
        <v>0</v>
      </c>
      <c r="O64" s="584">
        <f t="shared" si="176"/>
        <v>0</v>
      </c>
      <c r="P64" s="584">
        <f t="shared" si="176"/>
        <v>0</v>
      </c>
      <c r="Q64" s="584">
        <f t="shared" si="176"/>
        <v>0</v>
      </c>
      <c r="R64" s="584">
        <f t="shared" si="176"/>
        <v>0</v>
      </c>
      <c r="S64" s="584">
        <f t="shared" si="176"/>
        <v>0</v>
      </c>
      <c r="T64" s="584">
        <f t="shared" si="176"/>
        <v>0</v>
      </c>
      <c r="U64" s="584">
        <f t="shared" si="176"/>
        <v>0</v>
      </c>
      <c r="V64" s="584">
        <f t="shared" si="176"/>
        <v>0</v>
      </c>
      <c r="W64" s="584">
        <f t="shared" si="176"/>
        <v>0</v>
      </c>
      <c r="X64" s="584">
        <f t="shared" si="176"/>
        <v>0</v>
      </c>
      <c r="Y64" s="584">
        <f t="shared" si="176"/>
        <v>0</v>
      </c>
      <c r="Z64" s="584">
        <f t="shared" si="176"/>
        <v>0</v>
      </c>
      <c r="AA64" s="584">
        <f t="shared" si="176"/>
        <v>0</v>
      </c>
      <c r="AB64" s="584">
        <f t="shared" si="176"/>
        <v>0</v>
      </c>
      <c r="AC64" s="584">
        <f t="shared" si="176"/>
        <v>0</v>
      </c>
      <c r="AD64" s="584">
        <f t="shared" si="176"/>
        <v>0</v>
      </c>
      <c r="AE64" s="584">
        <f t="shared" si="176"/>
        <v>0</v>
      </c>
      <c r="AF64" s="584">
        <f t="shared" si="176"/>
        <v>0</v>
      </c>
      <c r="AG64" s="584">
        <f t="shared" si="176"/>
        <v>0</v>
      </c>
      <c r="AH64" s="584">
        <f t="shared" si="176"/>
        <v>0</v>
      </c>
      <c r="AI64" s="584">
        <f t="shared" si="176"/>
        <v>0</v>
      </c>
      <c r="AJ64" s="584">
        <f t="shared" si="176"/>
        <v>0</v>
      </c>
      <c r="AK64" s="584">
        <f t="shared" si="176"/>
        <v>0</v>
      </c>
      <c r="AL64" s="584">
        <f t="shared" si="176"/>
        <v>0</v>
      </c>
      <c r="AM64" s="584">
        <f t="shared" si="176"/>
        <v>0</v>
      </c>
      <c r="AN64" s="584">
        <f t="shared" si="176"/>
        <v>0</v>
      </c>
      <c r="AO64" s="584">
        <f t="shared" si="176"/>
        <v>0</v>
      </c>
    </row>
    <row r="65" spans="1:41" outlineLevel="1">
      <c r="A65" s="590" t="s">
        <v>689</v>
      </c>
      <c r="B65" s="584">
        <f>B63+B64</f>
        <v>0</v>
      </c>
      <c r="C65" s="584">
        <f t="shared" ref="C65:AO65" si="177">C63+C64</f>
        <v>0</v>
      </c>
      <c r="D65" s="584">
        <f t="shared" si="177"/>
        <v>0</v>
      </c>
      <c r="E65" s="584">
        <f t="shared" si="177"/>
        <v>0</v>
      </c>
      <c r="F65" s="584">
        <f t="shared" si="177"/>
        <v>0</v>
      </c>
      <c r="G65" s="584">
        <f t="shared" si="177"/>
        <v>0</v>
      </c>
      <c r="H65" s="584">
        <f t="shared" si="177"/>
        <v>0</v>
      </c>
      <c r="I65" s="584">
        <f t="shared" si="177"/>
        <v>0</v>
      </c>
      <c r="J65" s="584">
        <f t="shared" si="177"/>
        <v>0</v>
      </c>
      <c r="K65" s="584">
        <f t="shared" si="177"/>
        <v>0</v>
      </c>
      <c r="L65" s="584">
        <f t="shared" si="177"/>
        <v>0</v>
      </c>
      <c r="M65" s="584">
        <f t="shared" si="177"/>
        <v>0</v>
      </c>
      <c r="N65" s="584">
        <f t="shared" si="177"/>
        <v>0</v>
      </c>
      <c r="O65" s="584">
        <f t="shared" si="177"/>
        <v>0</v>
      </c>
      <c r="P65" s="584">
        <f t="shared" si="177"/>
        <v>0</v>
      </c>
      <c r="Q65" s="584">
        <f t="shared" si="177"/>
        <v>0</v>
      </c>
      <c r="R65" s="584">
        <f t="shared" si="177"/>
        <v>0</v>
      </c>
      <c r="S65" s="584">
        <f t="shared" si="177"/>
        <v>0</v>
      </c>
      <c r="T65" s="584">
        <f t="shared" si="177"/>
        <v>0</v>
      </c>
      <c r="U65" s="584">
        <f t="shared" si="177"/>
        <v>0</v>
      </c>
      <c r="V65" s="584">
        <f t="shared" si="177"/>
        <v>0</v>
      </c>
      <c r="W65" s="584">
        <f t="shared" si="177"/>
        <v>0</v>
      </c>
      <c r="X65" s="584">
        <f t="shared" si="177"/>
        <v>0</v>
      </c>
      <c r="Y65" s="584">
        <f t="shared" si="177"/>
        <v>0</v>
      </c>
      <c r="Z65" s="584">
        <f t="shared" si="177"/>
        <v>0</v>
      </c>
      <c r="AA65" s="584">
        <f t="shared" si="177"/>
        <v>0</v>
      </c>
      <c r="AB65" s="584">
        <f t="shared" si="177"/>
        <v>0</v>
      </c>
      <c r="AC65" s="584">
        <f t="shared" si="177"/>
        <v>0</v>
      </c>
      <c r="AD65" s="584">
        <f t="shared" si="177"/>
        <v>0</v>
      </c>
      <c r="AE65" s="584">
        <f t="shared" si="177"/>
        <v>0</v>
      </c>
      <c r="AF65" s="584">
        <f t="shared" si="177"/>
        <v>0</v>
      </c>
      <c r="AG65" s="584">
        <f t="shared" si="177"/>
        <v>0</v>
      </c>
      <c r="AH65" s="584">
        <f t="shared" si="177"/>
        <v>0</v>
      </c>
      <c r="AI65" s="584">
        <f t="shared" si="177"/>
        <v>0</v>
      </c>
      <c r="AJ65" s="584">
        <f t="shared" si="177"/>
        <v>0</v>
      </c>
      <c r="AK65" s="584">
        <f t="shared" si="177"/>
        <v>0</v>
      </c>
      <c r="AL65" s="584">
        <f t="shared" si="177"/>
        <v>0</v>
      </c>
      <c r="AM65" s="584">
        <f t="shared" si="177"/>
        <v>0</v>
      </c>
      <c r="AN65" s="584">
        <f t="shared" si="177"/>
        <v>0</v>
      </c>
      <c r="AO65" s="584">
        <f t="shared" si="177"/>
        <v>0</v>
      </c>
    </row>
    <row r="66" spans="1:41" outlineLevel="1">
      <c r="A66" s="590"/>
    </row>
    <row r="67" spans="1:41">
      <c r="A67" s="585" t="str">
        <f>assumptions!A25</f>
        <v>Non-VHFA Other Permanent Debt</v>
      </c>
    </row>
    <row r="68" spans="1:41">
      <c r="A68" s="585"/>
    </row>
    <row r="69" spans="1:41">
      <c r="A69" s="586" t="s">
        <v>680</v>
      </c>
      <c r="B69" s="584">
        <f>assumptions!B25</f>
        <v>0</v>
      </c>
    </row>
    <row r="70" spans="1:41">
      <c r="A70" s="586" t="s">
        <v>681</v>
      </c>
      <c r="B70" s="587">
        <f>assumptions!D25</f>
        <v>0</v>
      </c>
    </row>
    <row r="71" spans="1:41">
      <c r="A71" s="586" t="s">
        <v>682</v>
      </c>
      <c r="B71" s="584">
        <f>assumptions!E25</f>
        <v>0</v>
      </c>
    </row>
    <row r="72" spans="1:41">
      <c r="A72" s="586" t="s">
        <v>683</v>
      </c>
      <c r="B72" s="584">
        <f>assumptions!F25</f>
        <v>0</v>
      </c>
    </row>
    <row r="73" spans="1:41">
      <c r="A73" s="586" t="s">
        <v>684</v>
      </c>
      <c r="B73" s="584">
        <f>IF(B69=0,0,PMT(B70/12,B71*12,-B69))</f>
        <v>0</v>
      </c>
    </row>
    <row r="74" spans="1:41">
      <c r="A74" s="586" t="s">
        <v>685</v>
      </c>
      <c r="B74" s="584">
        <f>B73*12</f>
        <v>0</v>
      </c>
    </row>
    <row r="76" spans="1:41">
      <c r="A76" s="588" t="s">
        <v>686</v>
      </c>
      <c r="B76" s="589">
        <v>1</v>
      </c>
      <c r="C76" s="589">
        <f t="shared" ref="C76" si="178">B76+1</f>
        <v>2</v>
      </c>
      <c r="D76" s="589">
        <f t="shared" ref="D76" si="179">C76+1</f>
        <v>3</v>
      </c>
      <c r="E76" s="589">
        <f t="shared" ref="E76" si="180">D76+1</f>
        <v>4</v>
      </c>
      <c r="F76" s="589">
        <f t="shared" ref="F76" si="181">E76+1</f>
        <v>5</v>
      </c>
      <c r="G76" s="589">
        <f t="shared" ref="G76" si="182">F76+1</f>
        <v>6</v>
      </c>
      <c r="H76" s="589">
        <f t="shared" ref="H76" si="183">G76+1</f>
        <v>7</v>
      </c>
      <c r="I76" s="589">
        <f t="shared" ref="I76" si="184">H76+1</f>
        <v>8</v>
      </c>
      <c r="J76" s="589">
        <f t="shared" ref="J76" si="185">I76+1</f>
        <v>9</v>
      </c>
      <c r="K76" s="589">
        <f t="shared" ref="K76" si="186">J76+1</f>
        <v>10</v>
      </c>
      <c r="L76" s="589">
        <f t="shared" ref="L76" si="187">K76+1</f>
        <v>11</v>
      </c>
      <c r="M76" s="589">
        <f t="shared" ref="M76" si="188">L76+1</f>
        <v>12</v>
      </c>
      <c r="N76" s="589">
        <f t="shared" ref="N76" si="189">M76+1</f>
        <v>13</v>
      </c>
      <c r="O76" s="589">
        <f t="shared" ref="O76" si="190">N76+1</f>
        <v>14</v>
      </c>
      <c r="P76" s="589">
        <f t="shared" ref="P76" si="191">O76+1</f>
        <v>15</v>
      </c>
      <c r="Q76" s="589">
        <f t="shared" ref="Q76" si="192">P76+1</f>
        <v>16</v>
      </c>
      <c r="R76" s="589">
        <f t="shared" ref="R76" si="193">Q76+1</f>
        <v>17</v>
      </c>
      <c r="S76" s="589">
        <f t="shared" ref="S76" si="194">R76+1</f>
        <v>18</v>
      </c>
      <c r="T76" s="589">
        <f t="shared" ref="T76" si="195">S76+1</f>
        <v>19</v>
      </c>
      <c r="U76" s="589">
        <f t="shared" ref="U76" si="196">T76+1</f>
        <v>20</v>
      </c>
      <c r="V76" s="589">
        <f t="shared" ref="V76" si="197">U76+1</f>
        <v>21</v>
      </c>
      <c r="W76" s="589">
        <f t="shared" ref="W76" si="198">V76+1</f>
        <v>22</v>
      </c>
      <c r="X76" s="589">
        <f t="shared" ref="X76" si="199">W76+1</f>
        <v>23</v>
      </c>
      <c r="Y76" s="589">
        <f t="shared" ref="Y76" si="200">X76+1</f>
        <v>24</v>
      </c>
      <c r="Z76" s="589">
        <f t="shared" ref="Z76" si="201">Y76+1</f>
        <v>25</v>
      </c>
      <c r="AA76" s="589">
        <f t="shared" ref="AA76" si="202">Z76+1</f>
        <v>26</v>
      </c>
      <c r="AB76" s="589">
        <f t="shared" ref="AB76" si="203">AA76+1</f>
        <v>27</v>
      </c>
      <c r="AC76" s="589">
        <f t="shared" ref="AC76" si="204">AB76+1</f>
        <v>28</v>
      </c>
      <c r="AD76" s="589">
        <f t="shared" ref="AD76" si="205">AC76+1</f>
        <v>29</v>
      </c>
      <c r="AE76" s="589">
        <f t="shared" ref="AE76" si="206">AD76+1</f>
        <v>30</v>
      </c>
      <c r="AF76" s="589">
        <f t="shared" ref="AF76" si="207">AE76+1</f>
        <v>31</v>
      </c>
      <c r="AG76" s="589">
        <f t="shared" ref="AG76" si="208">AF76+1</f>
        <v>32</v>
      </c>
      <c r="AH76" s="589">
        <f t="shared" ref="AH76" si="209">AG76+1</f>
        <v>33</v>
      </c>
      <c r="AI76" s="589">
        <f t="shared" ref="AI76" si="210">AH76+1</f>
        <v>34</v>
      </c>
      <c r="AJ76" s="589">
        <f t="shared" ref="AJ76" si="211">AI76+1</f>
        <v>35</v>
      </c>
      <c r="AK76" s="589">
        <f t="shared" ref="AK76" si="212">AJ76+1</f>
        <v>36</v>
      </c>
      <c r="AL76" s="589">
        <f t="shared" ref="AL76" si="213">AK76+1</f>
        <v>37</v>
      </c>
      <c r="AM76" s="589">
        <f t="shared" ref="AM76" si="214">AL76+1</f>
        <v>38</v>
      </c>
      <c r="AN76" s="589">
        <f t="shared" ref="AN76" si="215">AM76+1</f>
        <v>39</v>
      </c>
      <c r="AO76" s="589">
        <f t="shared" ref="AO76" si="216">AN76+1</f>
        <v>40</v>
      </c>
    </row>
    <row r="77" spans="1:41">
      <c r="A77" s="590" t="s">
        <v>687</v>
      </c>
      <c r="B77" s="584">
        <f>B69</f>
        <v>0</v>
      </c>
      <c r="C77" s="584">
        <f>B78</f>
        <v>0</v>
      </c>
      <c r="D77" s="584">
        <f t="shared" ref="D77" si="217">C78</f>
        <v>0</v>
      </c>
      <c r="E77" s="584">
        <f t="shared" ref="E77" si="218">D78</f>
        <v>0</v>
      </c>
      <c r="F77" s="584">
        <f t="shared" ref="F77" si="219">E78</f>
        <v>0</v>
      </c>
      <c r="G77" s="584">
        <f t="shared" ref="G77" si="220">F78</f>
        <v>0</v>
      </c>
      <c r="H77" s="584">
        <f t="shared" ref="H77" si="221">G78</f>
        <v>0</v>
      </c>
      <c r="I77" s="584">
        <f t="shared" ref="I77" si="222">H78</f>
        <v>0</v>
      </c>
      <c r="J77" s="584">
        <f t="shared" ref="J77" si="223">I78</f>
        <v>0</v>
      </c>
      <c r="K77" s="584">
        <f t="shared" ref="K77" si="224">J78</f>
        <v>0</v>
      </c>
      <c r="L77" s="584">
        <f t="shared" ref="L77" si="225">K78</f>
        <v>0</v>
      </c>
      <c r="M77" s="584">
        <f t="shared" ref="M77" si="226">L78</f>
        <v>0</v>
      </c>
      <c r="N77" s="584">
        <f t="shared" ref="N77" si="227">M78</f>
        <v>0</v>
      </c>
      <c r="O77" s="584">
        <f t="shared" ref="O77" si="228">N78</f>
        <v>0</v>
      </c>
      <c r="P77" s="584">
        <f t="shared" ref="P77" si="229">O78</f>
        <v>0</v>
      </c>
      <c r="Q77" s="584">
        <f t="shared" ref="Q77" si="230">P78</f>
        <v>0</v>
      </c>
      <c r="R77" s="584">
        <f t="shared" ref="R77" si="231">Q78</f>
        <v>0</v>
      </c>
      <c r="S77" s="584">
        <f t="shared" ref="S77" si="232">R78</f>
        <v>0</v>
      </c>
      <c r="T77" s="584">
        <f t="shared" ref="T77" si="233">S78</f>
        <v>0</v>
      </c>
      <c r="U77" s="584">
        <f t="shared" ref="U77" si="234">T78</f>
        <v>0</v>
      </c>
      <c r="V77" s="584">
        <f t="shared" ref="V77" si="235">U78</f>
        <v>0</v>
      </c>
      <c r="W77" s="584">
        <f t="shared" ref="W77" si="236">V78</f>
        <v>0</v>
      </c>
      <c r="X77" s="584">
        <f t="shared" ref="X77" si="237">W78</f>
        <v>0</v>
      </c>
      <c r="Y77" s="584">
        <f t="shared" ref="Y77" si="238">X78</f>
        <v>0</v>
      </c>
      <c r="Z77" s="584">
        <f t="shared" ref="Z77" si="239">Y78</f>
        <v>0</v>
      </c>
      <c r="AA77" s="584">
        <f t="shared" ref="AA77" si="240">Z78</f>
        <v>0</v>
      </c>
      <c r="AB77" s="584">
        <f t="shared" ref="AB77" si="241">AA78</f>
        <v>0</v>
      </c>
      <c r="AC77" s="584">
        <f t="shared" ref="AC77" si="242">AB78</f>
        <v>0</v>
      </c>
      <c r="AD77" s="584">
        <f t="shared" ref="AD77" si="243">AC78</f>
        <v>0</v>
      </c>
      <c r="AE77" s="584">
        <f t="shared" ref="AE77" si="244">AD78</f>
        <v>0</v>
      </c>
      <c r="AF77" s="584">
        <f t="shared" ref="AF77" si="245">AE78</f>
        <v>0</v>
      </c>
      <c r="AG77" s="584">
        <f t="shared" ref="AG77" si="246">AF78</f>
        <v>0</v>
      </c>
      <c r="AH77" s="584">
        <f t="shared" ref="AH77" si="247">AG78</f>
        <v>0</v>
      </c>
      <c r="AI77" s="584">
        <f t="shared" ref="AI77" si="248">AH78</f>
        <v>0</v>
      </c>
      <c r="AJ77" s="584">
        <f t="shared" ref="AJ77" si="249">AI78</f>
        <v>0</v>
      </c>
      <c r="AK77" s="584">
        <f t="shared" ref="AK77" si="250">AJ78</f>
        <v>0</v>
      </c>
      <c r="AL77" s="584">
        <f t="shared" ref="AL77" si="251">AK78</f>
        <v>0</v>
      </c>
      <c r="AM77" s="584">
        <f t="shared" ref="AM77" si="252">AL78</f>
        <v>0</v>
      </c>
      <c r="AN77" s="584">
        <f t="shared" ref="AN77" si="253">AM78</f>
        <v>0</v>
      </c>
      <c r="AO77" s="584">
        <f t="shared" ref="AO77" si="254">AN78</f>
        <v>0</v>
      </c>
    </row>
    <row r="78" spans="1:41">
      <c r="A78" s="590" t="s">
        <v>688</v>
      </c>
      <c r="B78" s="584">
        <f>PV($B$70/12,12*($B$71-B$76),-$B$73)</f>
        <v>0</v>
      </c>
      <c r="C78" s="584">
        <f>IF($B$72&lt;=C76,0,PV($B$70/12,12*($B$71-C$76),-$B$73))</f>
        <v>0</v>
      </c>
      <c r="D78" s="584">
        <f t="shared" ref="D78:AO78" si="255">IF($B$72&lt;=D76,0,PV($B$70/12,12*($B$71-D$76),-$B$73))</f>
        <v>0</v>
      </c>
      <c r="E78" s="584">
        <f t="shared" si="255"/>
        <v>0</v>
      </c>
      <c r="F78" s="584">
        <f t="shared" si="255"/>
        <v>0</v>
      </c>
      <c r="G78" s="584">
        <f t="shared" si="255"/>
        <v>0</v>
      </c>
      <c r="H78" s="584">
        <f t="shared" si="255"/>
        <v>0</v>
      </c>
      <c r="I78" s="584">
        <f t="shared" si="255"/>
        <v>0</v>
      </c>
      <c r="J78" s="584">
        <f t="shared" si="255"/>
        <v>0</v>
      </c>
      <c r="K78" s="584">
        <f t="shared" si="255"/>
        <v>0</v>
      </c>
      <c r="L78" s="584">
        <f t="shared" si="255"/>
        <v>0</v>
      </c>
      <c r="M78" s="584">
        <f t="shared" si="255"/>
        <v>0</v>
      </c>
      <c r="N78" s="584">
        <f t="shared" si="255"/>
        <v>0</v>
      </c>
      <c r="O78" s="584">
        <f t="shared" si="255"/>
        <v>0</v>
      </c>
      <c r="P78" s="584">
        <f t="shared" si="255"/>
        <v>0</v>
      </c>
      <c r="Q78" s="584">
        <f t="shared" si="255"/>
        <v>0</v>
      </c>
      <c r="R78" s="584">
        <f t="shared" si="255"/>
        <v>0</v>
      </c>
      <c r="S78" s="584">
        <f t="shared" si="255"/>
        <v>0</v>
      </c>
      <c r="T78" s="584">
        <f t="shared" si="255"/>
        <v>0</v>
      </c>
      <c r="U78" s="584">
        <f t="shared" si="255"/>
        <v>0</v>
      </c>
      <c r="V78" s="584">
        <f t="shared" si="255"/>
        <v>0</v>
      </c>
      <c r="W78" s="584">
        <f t="shared" si="255"/>
        <v>0</v>
      </c>
      <c r="X78" s="584">
        <f t="shared" si="255"/>
        <v>0</v>
      </c>
      <c r="Y78" s="584">
        <f t="shared" si="255"/>
        <v>0</v>
      </c>
      <c r="Z78" s="584">
        <f t="shared" si="255"/>
        <v>0</v>
      </c>
      <c r="AA78" s="584">
        <f t="shared" si="255"/>
        <v>0</v>
      </c>
      <c r="AB78" s="584">
        <f t="shared" si="255"/>
        <v>0</v>
      </c>
      <c r="AC78" s="584">
        <f t="shared" si="255"/>
        <v>0</v>
      </c>
      <c r="AD78" s="584">
        <f t="shared" si="255"/>
        <v>0</v>
      </c>
      <c r="AE78" s="584">
        <f t="shared" si="255"/>
        <v>0</v>
      </c>
      <c r="AF78" s="584">
        <f t="shared" si="255"/>
        <v>0</v>
      </c>
      <c r="AG78" s="584">
        <f t="shared" si="255"/>
        <v>0</v>
      </c>
      <c r="AH78" s="584">
        <f t="shared" si="255"/>
        <v>0</v>
      </c>
      <c r="AI78" s="584">
        <f t="shared" si="255"/>
        <v>0</v>
      </c>
      <c r="AJ78" s="584">
        <f t="shared" si="255"/>
        <v>0</v>
      </c>
      <c r="AK78" s="584">
        <f t="shared" si="255"/>
        <v>0</v>
      </c>
      <c r="AL78" s="584">
        <f t="shared" si="255"/>
        <v>0</v>
      </c>
      <c r="AM78" s="584">
        <f t="shared" si="255"/>
        <v>0</v>
      </c>
      <c r="AN78" s="584">
        <f t="shared" si="255"/>
        <v>0</v>
      </c>
      <c r="AO78" s="584">
        <f t="shared" si="255"/>
        <v>0</v>
      </c>
    </row>
    <row r="79" spans="1:41">
      <c r="A79" s="590" t="s">
        <v>680</v>
      </c>
      <c r="B79" s="584">
        <f>B77-B78</f>
        <v>0</v>
      </c>
      <c r="C79" s="584">
        <f>IF($B$72&lt;=C76,C77,C77-PV($B$70/12,12*($B$71-C$76),-$B$73))</f>
        <v>0</v>
      </c>
      <c r="D79" s="584">
        <f t="shared" ref="D79:AO79" si="256">IF($B$72&lt;=D76,D77,D77-PV($B$70/12,12*($B$71-D$76),-$B$73))</f>
        <v>0</v>
      </c>
      <c r="E79" s="584">
        <f t="shared" si="256"/>
        <v>0</v>
      </c>
      <c r="F79" s="584">
        <f t="shared" si="256"/>
        <v>0</v>
      </c>
      <c r="G79" s="584">
        <f t="shared" si="256"/>
        <v>0</v>
      </c>
      <c r="H79" s="584">
        <f t="shared" si="256"/>
        <v>0</v>
      </c>
      <c r="I79" s="584">
        <f t="shared" si="256"/>
        <v>0</v>
      </c>
      <c r="J79" s="584">
        <f t="shared" si="256"/>
        <v>0</v>
      </c>
      <c r="K79" s="584">
        <f t="shared" si="256"/>
        <v>0</v>
      </c>
      <c r="L79" s="584">
        <f t="shared" si="256"/>
        <v>0</v>
      </c>
      <c r="M79" s="584">
        <f t="shared" si="256"/>
        <v>0</v>
      </c>
      <c r="N79" s="584">
        <f t="shared" si="256"/>
        <v>0</v>
      </c>
      <c r="O79" s="584">
        <f t="shared" si="256"/>
        <v>0</v>
      </c>
      <c r="P79" s="584">
        <f t="shared" si="256"/>
        <v>0</v>
      </c>
      <c r="Q79" s="584">
        <f t="shared" si="256"/>
        <v>0</v>
      </c>
      <c r="R79" s="584">
        <f t="shared" si="256"/>
        <v>0</v>
      </c>
      <c r="S79" s="584">
        <f t="shared" si="256"/>
        <v>0</v>
      </c>
      <c r="T79" s="584">
        <f t="shared" si="256"/>
        <v>0</v>
      </c>
      <c r="U79" s="584">
        <f t="shared" si="256"/>
        <v>0</v>
      </c>
      <c r="V79" s="584">
        <f t="shared" si="256"/>
        <v>0</v>
      </c>
      <c r="W79" s="584">
        <f t="shared" si="256"/>
        <v>0</v>
      </c>
      <c r="X79" s="584">
        <f t="shared" si="256"/>
        <v>0</v>
      </c>
      <c r="Y79" s="584">
        <f t="shared" si="256"/>
        <v>0</v>
      </c>
      <c r="Z79" s="584">
        <f t="shared" si="256"/>
        <v>0</v>
      </c>
      <c r="AA79" s="584">
        <f t="shared" si="256"/>
        <v>0</v>
      </c>
      <c r="AB79" s="584">
        <f t="shared" si="256"/>
        <v>0</v>
      </c>
      <c r="AC79" s="584">
        <f t="shared" si="256"/>
        <v>0</v>
      </c>
      <c r="AD79" s="584">
        <f t="shared" si="256"/>
        <v>0</v>
      </c>
      <c r="AE79" s="584">
        <f t="shared" si="256"/>
        <v>0</v>
      </c>
      <c r="AF79" s="584">
        <f t="shared" si="256"/>
        <v>0</v>
      </c>
      <c r="AG79" s="584">
        <f t="shared" si="256"/>
        <v>0</v>
      </c>
      <c r="AH79" s="584">
        <f t="shared" si="256"/>
        <v>0</v>
      </c>
      <c r="AI79" s="584">
        <f t="shared" si="256"/>
        <v>0</v>
      </c>
      <c r="AJ79" s="584">
        <f t="shared" si="256"/>
        <v>0</v>
      </c>
      <c r="AK79" s="584">
        <f t="shared" si="256"/>
        <v>0</v>
      </c>
      <c r="AL79" s="584">
        <f t="shared" si="256"/>
        <v>0</v>
      </c>
      <c r="AM79" s="584">
        <f t="shared" si="256"/>
        <v>0</v>
      </c>
      <c r="AN79" s="584">
        <f t="shared" si="256"/>
        <v>0</v>
      </c>
      <c r="AO79" s="584">
        <f t="shared" si="256"/>
        <v>0</v>
      </c>
    </row>
    <row r="80" spans="1:41">
      <c r="A80" s="590" t="s">
        <v>681</v>
      </c>
      <c r="B80" s="584">
        <f>$B$74-B79</f>
        <v>0</v>
      </c>
      <c r="C80" s="584">
        <f>IF($B$72&gt;=C76,$B$74-(C77-PV($B$70/12,12*($B$71-C$76),-$B$73)),0)</f>
        <v>0</v>
      </c>
      <c r="D80" s="584">
        <f>IF($B$72&gt;=D76,$B$74-(D77-PV($B$70/12,12*($B$71-D$76),-$B$73)),0)</f>
        <v>0</v>
      </c>
      <c r="E80" s="584">
        <f t="shared" ref="E80:AO80" si="257">IF($B$72&gt;=E76,$B$74-(E77-PV($B$70/12,12*($B$71-E$76),-$B$73)),0)</f>
        <v>0</v>
      </c>
      <c r="F80" s="584">
        <f t="shared" si="257"/>
        <v>0</v>
      </c>
      <c r="G80" s="584">
        <f t="shared" si="257"/>
        <v>0</v>
      </c>
      <c r="H80" s="584">
        <f t="shared" si="257"/>
        <v>0</v>
      </c>
      <c r="I80" s="584">
        <f t="shared" si="257"/>
        <v>0</v>
      </c>
      <c r="J80" s="584">
        <f t="shared" si="257"/>
        <v>0</v>
      </c>
      <c r="K80" s="584">
        <f t="shared" si="257"/>
        <v>0</v>
      </c>
      <c r="L80" s="584">
        <f t="shared" si="257"/>
        <v>0</v>
      </c>
      <c r="M80" s="584">
        <f t="shared" si="257"/>
        <v>0</v>
      </c>
      <c r="N80" s="584">
        <f t="shared" si="257"/>
        <v>0</v>
      </c>
      <c r="O80" s="584">
        <f t="shared" si="257"/>
        <v>0</v>
      </c>
      <c r="P80" s="584">
        <f t="shared" si="257"/>
        <v>0</v>
      </c>
      <c r="Q80" s="584">
        <f t="shared" si="257"/>
        <v>0</v>
      </c>
      <c r="R80" s="584">
        <f t="shared" si="257"/>
        <v>0</v>
      </c>
      <c r="S80" s="584">
        <f t="shared" si="257"/>
        <v>0</v>
      </c>
      <c r="T80" s="584">
        <f t="shared" si="257"/>
        <v>0</v>
      </c>
      <c r="U80" s="584">
        <f t="shared" si="257"/>
        <v>0</v>
      </c>
      <c r="V80" s="584">
        <f t="shared" si="257"/>
        <v>0</v>
      </c>
      <c r="W80" s="584">
        <f t="shared" si="257"/>
        <v>0</v>
      </c>
      <c r="X80" s="584">
        <f t="shared" si="257"/>
        <v>0</v>
      </c>
      <c r="Y80" s="584">
        <f t="shared" si="257"/>
        <v>0</v>
      </c>
      <c r="Z80" s="584">
        <f t="shared" si="257"/>
        <v>0</v>
      </c>
      <c r="AA80" s="584">
        <f t="shared" si="257"/>
        <v>0</v>
      </c>
      <c r="AB80" s="584">
        <f t="shared" si="257"/>
        <v>0</v>
      </c>
      <c r="AC80" s="584">
        <f t="shared" si="257"/>
        <v>0</v>
      </c>
      <c r="AD80" s="584">
        <f t="shared" si="257"/>
        <v>0</v>
      </c>
      <c r="AE80" s="584">
        <f t="shared" si="257"/>
        <v>0</v>
      </c>
      <c r="AF80" s="584">
        <f t="shared" si="257"/>
        <v>0</v>
      </c>
      <c r="AG80" s="584">
        <f t="shared" si="257"/>
        <v>0</v>
      </c>
      <c r="AH80" s="584">
        <f t="shared" si="257"/>
        <v>0</v>
      </c>
      <c r="AI80" s="584">
        <f t="shared" si="257"/>
        <v>0</v>
      </c>
      <c r="AJ80" s="584">
        <f t="shared" si="257"/>
        <v>0</v>
      </c>
      <c r="AK80" s="584">
        <f t="shared" si="257"/>
        <v>0</v>
      </c>
      <c r="AL80" s="584">
        <f t="shared" si="257"/>
        <v>0</v>
      </c>
      <c r="AM80" s="584">
        <f t="shared" si="257"/>
        <v>0</v>
      </c>
      <c r="AN80" s="584">
        <f t="shared" si="257"/>
        <v>0</v>
      </c>
      <c r="AO80" s="584">
        <f t="shared" si="257"/>
        <v>0</v>
      </c>
    </row>
    <row r="81" spans="1:41">
      <c r="A81" s="590" t="s">
        <v>689</v>
      </c>
      <c r="B81" s="584">
        <f>B79+B80</f>
        <v>0</v>
      </c>
      <c r="C81" s="584">
        <f>C79+C80</f>
        <v>0</v>
      </c>
      <c r="D81" s="584">
        <f>D79+D80</f>
        <v>0</v>
      </c>
      <c r="E81" s="584">
        <f t="shared" ref="E81:AO81" si="258">E79+E80</f>
        <v>0</v>
      </c>
      <c r="F81" s="584">
        <f t="shared" si="258"/>
        <v>0</v>
      </c>
      <c r="G81" s="584">
        <f t="shared" si="258"/>
        <v>0</v>
      </c>
      <c r="H81" s="584">
        <f t="shared" si="258"/>
        <v>0</v>
      </c>
      <c r="I81" s="584">
        <f t="shared" si="258"/>
        <v>0</v>
      </c>
      <c r="J81" s="584">
        <f t="shared" si="258"/>
        <v>0</v>
      </c>
      <c r="K81" s="584">
        <f t="shared" si="258"/>
        <v>0</v>
      </c>
      <c r="L81" s="584">
        <f t="shared" si="258"/>
        <v>0</v>
      </c>
      <c r="M81" s="584">
        <f t="shared" si="258"/>
        <v>0</v>
      </c>
      <c r="N81" s="584">
        <f t="shared" si="258"/>
        <v>0</v>
      </c>
      <c r="O81" s="584">
        <f t="shared" si="258"/>
        <v>0</v>
      </c>
      <c r="P81" s="584">
        <f t="shared" si="258"/>
        <v>0</v>
      </c>
      <c r="Q81" s="584">
        <f t="shared" si="258"/>
        <v>0</v>
      </c>
      <c r="R81" s="584">
        <f t="shared" si="258"/>
        <v>0</v>
      </c>
      <c r="S81" s="584">
        <f t="shared" si="258"/>
        <v>0</v>
      </c>
      <c r="T81" s="584">
        <f t="shared" si="258"/>
        <v>0</v>
      </c>
      <c r="U81" s="584">
        <f t="shared" si="258"/>
        <v>0</v>
      </c>
      <c r="V81" s="584">
        <f t="shared" si="258"/>
        <v>0</v>
      </c>
      <c r="W81" s="584">
        <f t="shared" si="258"/>
        <v>0</v>
      </c>
      <c r="X81" s="584">
        <f t="shared" si="258"/>
        <v>0</v>
      </c>
      <c r="Y81" s="584">
        <f t="shared" si="258"/>
        <v>0</v>
      </c>
      <c r="Z81" s="584">
        <f t="shared" si="258"/>
        <v>0</v>
      </c>
      <c r="AA81" s="584">
        <f t="shared" si="258"/>
        <v>0</v>
      </c>
      <c r="AB81" s="584">
        <f t="shared" si="258"/>
        <v>0</v>
      </c>
      <c r="AC81" s="584">
        <f t="shared" si="258"/>
        <v>0</v>
      </c>
      <c r="AD81" s="584">
        <f t="shared" si="258"/>
        <v>0</v>
      </c>
      <c r="AE81" s="584">
        <f t="shared" si="258"/>
        <v>0</v>
      </c>
      <c r="AF81" s="584">
        <f t="shared" si="258"/>
        <v>0</v>
      </c>
      <c r="AG81" s="584">
        <f t="shared" si="258"/>
        <v>0</v>
      </c>
      <c r="AH81" s="584">
        <f t="shared" si="258"/>
        <v>0</v>
      </c>
      <c r="AI81" s="584">
        <f t="shared" si="258"/>
        <v>0</v>
      </c>
      <c r="AJ81" s="584">
        <f t="shared" si="258"/>
        <v>0</v>
      </c>
      <c r="AK81" s="584">
        <f t="shared" si="258"/>
        <v>0</v>
      </c>
      <c r="AL81" s="584">
        <f t="shared" si="258"/>
        <v>0</v>
      </c>
      <c r="AM81" s="584">
        <f t="shared" si="258"/>
        <v>0</v>
      </c>
      <c r="AN81" s="584">
        <f t="shared" si="258"/>
        <v>0</v>
      </c>
      <c r="AO81" s="584">
        <f t="shared" si="258"/>
        <v>0</v>
      </c>
    </row>
    <row r="82" spans="1:41">
      <c r="A82" s="590"/>
    </row>
    <row r="83" spans="1:41" outlineLevel="2">
      <c r="A83" s="585" t="str">
        <f>assumptions!A26</f>
        <v>[Additional Field - Specify] (Amortizing)</v>
      </c>
    </row>
    <row r="84" spans="1:41" outlineLevel="2">
      <c r="A84" s="585"/>
    </row>
    <row r="85" spans="1:41" outlineLevel="2">
      <c r="A85" s="586" t="s">
        <v>680</v>
      </c>
      <c r="B85" s="584">
        <f>assumptions!B26</f>
        <v>0</v>
      </c>
    </row>
    <row r="86" spans="1:41" outlineLevel="2">
      <c r="A86" s="586" t="s">
        <v>681</v>
      </c>
      <c r="B86" s="587">
        <f>assumptions!D26</f>
        <v>0</v>
      </c>
    </row>
    <row r="87" spans="1:41" outlineLevel="2">
      <c r="A87" s="586" t="s">
        <v>682</v>
      </c>
      <c r="B87" s="584">
        <f>assumptions!E26</f>
        <v>0</v>
      </c>
    </row>
    <row r="88" spans="1:41" outlineLevel="2">
      <c r="A88" s="586" t="s">
        <v>683</v>
      </c>
      <c r="B88" s="584">
        <f>assumptions!F26</f>
        <v>0</v>
      </c>
    </row>
    <row r="89" spans="1:41" outlineLevel="2">
      <c r="A89" s="586" t="s">
        <v>684</v>
      </c>
      <c r="B89" s="584">
        <f>IF(B85=0,0,PMT(B86/12,B87*12,-B85))</f>
        <v>0</v>
      </c>
    </row>
    <row r="90" spans="1:41" outlineLevel="2">
      <c r="A90" s="586" t="s">
        <v>685</v>
      </c>
      <c r="B90" s="584">
        <f>B89*12</f>
        <v>0</v>
      </c>
    </row>
    <row r="91" spans="1:41" outlineLevel="2"/>
    <row r="92" spans="1:41" outlineLevel="2">
      <c r="A92" s="588" t="s">
        <v>686</v>
      </c>
      <c r="B92" s="589">
        <v>1</v>
      </c>
      <c r="C92" s="589">
        <f t="shared" ref="C92" si="259">B92+1</f>
        <v>2</v>
      </c>
      <c r="D92" s="589">
        <f t="shared" ref="D92" si="260">C92+1</f>
        <v>3</v>
      </c>
      <c r="E92" s="589">
        <f t="shared" ref="E92" si="261">D92+1</f>
        <v>4</v>
      </c>
      <c r="F92" s="589">
        <f t="shared" ref="F92" si="262">E92+1</f>
        <v>5</v>
      </c>
      <c r="G92" s="589">
        <f t="shared" ref="G92" si="263">F92+1</f>
        <v>6</v>
      </c>
      <c r="H92" s="589">
        <f t="shared" ref="H92" si="264">G92+1</f>
        <v>7</v>
      </c>
      <c r="I92" s="589">
        <f t="shared" ref="I92" si="265">H92+1</f>
        <v>8</v>
      </c>
      <c r="J92" s="589">
        <f t="shared" ref="J92" si="266">I92+1</f>
        <v>9</v>
      </c>
      <c r="K92" s="589">
        <f t="shared" ref="K92" si="267">J92+1</f>
        <v>10</v>
      </c>
      <c r="L92" s="589">
        <f t="shared" ref="L92" si="268">K92+1</f>
        <v>11</v>
      </c>
      <c r="M92" s="589">
        <f t="shared" ref="M92" si="269">L92+1</f>
        <v>12</v>
      </c>
      <c r="N92" s="589">
        <f t="shared" ref="N92" si="270">M92+1</f>
        <v>13</v>
      </c>
      <c r="O92" s="589">
        <f t="shared" ref="O92" si="271">N92+1</f>
        <v>14</v>
      </c>
      <c r="P92" s="589">
        <f t="shared" ref="P92" si="272">O92+1</f>
        <v>15</v>
      </c>
      <c r="Q92" s="589">
        <f t="shared" ref="Q92" si="273">P92+1</f>
        <v>16</v>
      </c>
      <c r="R92" s="589">
        <f t="shared" ref="R92" si="274">Q92+1</f>
        <v>17</v>
      </c>
      <c r="S92" s="589">
        <f t="shared" ref="S92" si="275">R92+1</f>
        <v>18</v>
      </c>
      <c r="T92" s="589">
        <f t="shared" ref="T92" si="276">S92+1</f>
        <v>19</v>
      </c>
      <c r="U92" s="589">
        <f t="shared" ref="U92" si="277">T92+1</f>
        <v>20</v>
      </c>
      <c r="V92" s="589">
        <f t="shared" ref="V92" si="278">U92+1</f>
        <v>21</v>
      </c>
      <c r="W92" s="589">
        <f t="shared" ref="W92" si="279">V92+1</f>
        <v>22</v>
      </c>
      <c r="X92" s="589">
        <f t="shared" ref="X92" si="280">W92+1</f>
        <v>23</v>
      </c>
      <c r="Y92" s="589">
        <f t="shared" ref="Y92" si="281">X92+1</f>
        <v>24</v>
      </c>
      <c r="Z92" s="589">
        <f t="shared" ref="Z92" si="282">Y92+1</f>
        <v>25</v>
      </c>
      <c r="AA92" s="589">
        <f t="shared" ref="AA92" si="283">Z92+1</f>
        <v>26</v>
      </c>
      <c r="AB92" s="589">
        <f t="shared" ref="AB92" si="284">AA92+1</f>
        <v>27</v>
      </c>
      <c r="AC92" s="589">
        <f t="shared" ref="AC92" si="285">AB92+1</f>
        <v>28</v>
      </c>
      <c r="AD92" s="589">
        <f t="shared" ref="AD92" si="286">AC92+1</f>
        <v>29</v>
      </c>
      <c r="AE92" s="589">
        <f t="shared" ref="AE92" si="287">AD92+1</f>
        <v>30</v>
      </c>
      <c r="AF92" s="589">
        <f t="shared" ref="AF92" si="288">AE92+1</f>
        <v>31</v>
      </c>
      <c r="AG92" s="589">
        <f t="shared" ref="AG92" si="289">AF92+1</f>
        <v>32</v>
      </c>
      <c r="AH92" s="589">
        <f t="shared" ref="AH92" si="290">AG92+1</f>
        <v>33</v>
      </c>
      <c r="AI92" s="589">
        <f t="shared" ref="AI92" si="291">AH92+1</f>
        <v>34</v>
      </c>
      <c r="AJ92" s="589">
        <f t="shared" ref="AJ92" si="292">AI92+1</f>
        <v>35</v>
      </c>
      <c r="AK92" s="589">
        <f t="shared" ref="AK92" si="293">AJ92+1</f>
        <v>36</v>
      </c>
      <c r="AL92" s="589">
        <f t="shared" ref="AL92" si="294">AK92+1</f>
        <v>37</v>
      </c>
      <c r="AM92" s="589">
        <f t="shared" ref="AM92" si="295">AL92+1</f>
        <v>38</v>
      </c>
      <c r="AN92" s="589">
        <f t="shared" ref="AN92" si="296">AM92+1</f>
        <v>39</v>
      </c>
      <c r="AO92" s="589">
        <f t="shared" ref="AO92" si="297">AN92+1</f>
        <v>40</v>
      </c>
    </row>
    <row r="93" spans="1:41" outlineLevel="2">
      <c r="A93" s="590" t="s">
        <v>687</v>
      </c>
      <c r="B93" s="584">
        <f>B85</f>
        <v>0</v>
      </c>
      <c r="C93" s="584">
        <f>B94</f>
        <v>0</v>
      </c>
      <c r="D93" s="584">
        <f t="shared" ref="D93" si="298">C94</f>
        <v>0</v>
      </c>
      <c r="E93" s="584">
        <f t="shared" ref="E93" si="299">D94</f>
        <v>0</v>
      </c>
      <c r="F93" s="584">
        <f t="shared" ref="F93" si="300">E94</f>
        <v>0</v>
      </c>
      <c r="G93" s="584">
        <f t="shared" ref="G93" si="301">F94</f>
        <v>0</v>
      </c>
      <c r="H93" s="584">
        <f t="shared" ref="H93" si="302">G94</f>
        <v>0</v>
      </c>
      <c r="I93" s="584">
        <f t="shared" ref="I93" si="303">H94</f>
        <v>0</v>
      </c>
      <c r="J93" s="584">
        <f t="shared" ref="J93" si="304">I94</f>
        <v>0</v>
      </c>
      <c r="K93" s="584">
        <f t="shared" ref="K93" si="305">J94</f>
        <v>0</v>
      </c>
      <c r="L93" s="584">
        <f t="shared" ref="L93" si="306">K94</f>
        <v>0</v>
      </c>
      <c r="M93" s="584">
        <f t="shared" ref="M93" si="307">L94</f>
        <v>0</v>
      </c>
      <c r="N93" s="584">
        <f t="shared" ref="N93" si="308">M94</f>
        <v>0</v>
      </c>
      <c r="O93" s="584">
        <f t="shared" ref="O93" si="309">N94</f>
        <v>0</v>
      </c>
      <c r="P93" s="584">
        <f t="shared" ref="P93" si="310">O94</f>
        <v>0</v>
      </c>
      <c r="Q93" s="584">
        <f t="shared" ref="Q93" si="311">P94</f>
        <v>0</v>
      </c>
      <c r="R93" s="584">
        <f t="shared" ref="R93" si="312">Q94</f>
        <v>0</v>
      </c>
      <c r="S93" s="584">
        <f t="shared" ref="S93" si="313">R94</f>
        <v>0</v>
      </c>
      <c r="T93" s="584">
        <f t="shared" ref="T93" si="314">S94</f>
        <v>0</v>
      </c>
      <c r="U93" s="584">
        <f t="shared" ref="U93" si="315">T94</f>
        <v>0</v>
      </c>
      <c r="V93" s="584">
        <f t="shared" ref="V93" si="316">U94</f>
        <v>0</v>
      </c>
      <c r="W93" s="584">
        <f t="shared" ref="W93" si="317">V94</f>
        <v>0</v>
      </c>
      <c r="X93" s="584">
        <f t="shared" ref="X93" si="318">W94</f>
        <v>0</v>
      </c>
      <c r="Y93" s="584">
        <f t="shared" ref="Y93" si="319">X94</f>
        <v>0</v>
      </c>
      <c r="Z93" s="584">
        <f t="shared" ref="Z93" si="320">Y94</f>
        <v>0</v>
      </c>
      <c r="AA93" s="584">
        <f t="shared" ref="AA93" si="321">Z94</f>
        <v>0</v>
      </c>
      <c r="AB93" s="584">
        <f t="shared" ref="AB93" si="322">AA94</f>
        <v>0</v>
      </c>
      <c r="AC93" s="584">
        <f t="shared" ref="AC93" si="323">AB94</f>
        <v>0</v>
      </c>
      <c r="AD93" s="584">
        <f t="shared" ref="AD93" si="324">AC94</f>
        <v>0</v>
      </c>
      <c r="AE93" s="584">
        <f t="shared" ref="AE93" si="325">AD94</f>
        <v>0</v>
      </c>
      <c r="AF93" s="584">
        <f t="shared" ref="AF93" si="326">AE94</f>
        <v>0</v>
      </c>
      <c r="AG93" s="584">
        <f t="shared" ref="AG93" si="327">AF94</f>
        <v>0</v>
      </c>
      <c r="AH93" s="584">
        <f t="shared" ref="AH93" si="328">AG94</f>
        <v>0</v>
      </c>
      <c r="AI93" s="584">
        <f t="shared" ref="AI93" si="329">AH94</f>
        <v>0</v>
      </c>
      <c r="AJ93" s="584">
        <f t="shared" ref="AJ93" si="330">AI94</f>
        <v>0</v>
      </c>
      <c r="AK93" s="584">
        <f t="shared" ref="AK93" si="331">AJ94</f>
        <v>0</v>
      </c>
      <c r="AL93" s="584">
        <f t="shared" ref="AL93" si="332">AK94</f>
        <v>0</v>
      </c>
      <c r="AM93" s="584">
        <f t="shared" ref="AM93" si="333">AL94</f>
        <v>0</v>
      </c>
      <c r="AN93" s="584">
        <f t="shared" ref="AN93" si="334">AM94</f>
        <v>0</v>
      </c>
      <c r="AO93" s="584">
        <f t="shared" ref="AO93" si="335">AN94</f>
        <v>0</v>
      </c>
    </row>
    <row r="94" spans="1:41" outlineLevel="2">
      <c r="A94" s="590" t="s">
        <v>688</v>
      </c>
      <c r="B94" s="584">
        <f>PV($B$86/12,12*($B$87-B$92),-$B$89)</f>
        <v>0</v>
      </c>
      <c r="C94" s="584">
        <f>IF($B88&lt;=C92,0,PV($B86/12,12*($B87-C92),-$B89))</f>
        <v>0</v>
      </c>
      <c r="D94" s="584">
        <f t="shared" ref="D94:AO94" si="336">IF($B88&lt;=D92,0,PV($B86/12,12*($B87-D92),-$B89))</f>
        <v>0</v>
      </c>
      <c r="E94" s="584">
        <f>IF($B88&lt;=E92,0,PV($B86/12,12*($B87-E92),-$B89))</f>
        <v>0</v>
      </c>
      <c r="F94" s="584">
        <f t="shared" si="336"/>
        <v>0</v>
      </c>
      <c r="G94" s="584">
        <f t="shared" si="336"/>
        <v>0</v>
      </c>
      <c r="H94" s="584">
        <f t="shared" si="336"/>
        <v>0</v>
      </c>
      <c r="I94" s="584">
        <f t="shared" si="336"/>
        <v>0</v>
      </c>
      <c r="J94" s="584">
        <f t="shared" si="336"/>
        <v>0</v>
      </c>
      <c r="K94" s="584">
        <f t="shared" si="336"/>
        <v>0</v>
      </c>
      <c r="L94" s="584">
        <f t="shared" si="336"/>
        <v>0</v>
      </c>
      <c r="M94" s="584">
        <f t="shared" si="336"/>
        <v>0</v>
      </c>
      <c r="N94" s="584">
        <f t="shared" si="336"/>
        <v>0</v>
      </c>
      <c r="O94" s="584">
        <f t="shared" si="336"/>
        <v>0</v>
      </c>
      <c r="P94" s="584">
        <f t="shared" si="336"/>
        <v>0</v>
      </c>
      <c r="Q94" s="584">
        <f t="shared" si="336"/>
        <v>0</v>
      </c>
      <c r="R94" s="584">
        <f t="shared" si="336"/>
        <v>0</v>
      </c>
      <c r="S94" s="584">
        <f t="shared" si="336"/>
        <v>0</v>
      </c>
      <c r="T94" s="584">
        <f t="shared" si="336"/>
        <v>0</v>
      </c>
      <c r="U94" s="584">
        <f t="shared" si="336"/>
        <v>0</v>
      </c>
      <c r="V94" s="584">
        <f t="shared" si="336"/>
        <v>0</v>
      </c>
      <c r="W94" s="584">
        <f t="shared" si="336"/>
        <v>0</v>
      </c>
      <c r="X94" s="584">
        <f t="shared" si="336"/>
        <v>0</v>
      </c>
      <c r="Y94" s="584">
        <f t="shared" si="336"/>
        <v>0</v>
      </c>
      <c r="Z94" s="584">
        <f t="shared" si="336"/>
        <v>0</v>
      </c>
      <c r="AA94" s="584">
        <f t="shared" si="336"/>
        <v>0</v>
      </c>
      <c r="AB94" s="584">
        <f t="shared" si="336"/>
        <v>0</v>
      </c>
      <c r="AC94" s="584">
        <f t="shared" si="336"/>
        <v>0</v>
      </c>
      <c r="AD94" s="584">
        <f t="shared" si="336"/>
        <v>0</v>
      </c>
      <c r="AE94" s="584">
        <f t="shared" si="336"/>
        <v>0</v>
      </c>
      <c r="AF94" s="584">
        <f t="shared" si="336"/>
        <v>0</v>
      </c>
      <c r="AG94" s="584">
        <f t="shared" si="336"/>
        <v>0</v>
      </c>
      <c r="AH94" s="584">
        <f t="shared" si="336"/>
        <v>0</v>
      </c>
      <c r="AI94" s="584">
        <f t="shared" si="336"/>
        <v>0</v>
      </c>
      <c r="AJ94" s="584">
        <f t="shared" si="336"/>
        <v>0</v>
      </c>
      <c r="AK94" s="584">
        <f t="shared" si="336"/>
        <v>0</v>
      </c>
      <c r="AL94" s="584">
        <f t="shared" si="336"/>
        <v>0</v>
      </c>
      <c r="AM94" s="584">
        <f t="shared" si="336"/>
        <v>0</v>
      </c>
      <c r="AN94" s="584">
        <f t="shared" si="336"/>
        <v>0</v>
      </c>
      <c r="AO94" s="584">
        <f t="shared" si="336"/>
        <v>0</v>
      </c>
    </row>
    <row r="95" spans="1:41" outlineLevel="2">
      <c r="A95" s="590" t="s">
        <v>680</v>
      </c>
      <c r="B95" s="584">
        <f>B93-B94</f>
        <v>0</v>
      </c>
      <c r="C95" s="584">
        <f>IF($B88&lt;=C92,C93,C93-PV($B86/12,12*($B87-C92),-$B89))</f>
        <v>0</v>
      </c>
      <c r="D95" s="584">
        <f>IF($B88&lt;=D92,D93,D93-PV($B86/12,12*($B87-D92),-$B89))</f>
        <v>0</v>
      </c>
      <c r="E95" s="584">
        <f t="shared" ref="E95:AO95" si="337">IF($B88&lt;=E92,E93,E93-PV($B86/12,12*($B87-E92),-$B89))</f>
        <v>0</v>
      </c>
      <c r="F95" s="584">
        <f t="shared" si="337"/>
        <v>0</v>
      </c>
      <c r="G95" s="584">
        <f t="shared" si="337"/>
        <v>0</v>
      </c>
      <c r="H95" s="584">
        <f t="shared" si="337"/>
        <v>0</v>
      </c>
      <c r="I95" s="584">
        <f t="shared" si="337"/>
        <v>0</v>
      </c>
      <c r="J95" s="584">
        <f t="shared" si="337"/>
        <v>0</v>
      </c>
      <c r="K95" s="584">
        <f t="shared" si="337"/>
        <v>0</v>
      </c>
      <c r="L95" s="584">
        <f t="shared" si="337"/>
        <v>0</v>
      </c>
      <c r="M95" s="584">
        <f t="shared" si="337"/>
        <v>0</v>
      </c>
      <c r="N95" s="584">
        <f t="shared" si="337"/>
        <v>0</v>
      </c>
      <c r="O95" s="584">
        <f t="shared" si="337"/>
        <v>0</v>
      </c>
      <c r="P95" s="584">
        <f t="shared" si="337"/>
        <v>0</v>
      </c>
      <c r="Q95" s="584">
        <f t="shared" si="337"/>
        <v>0</v>
      </c>
      <c r="R95" s="584">
        <f t="shared" si="337"/>
        <v>0</v>
      </c>
      <c r="S95" s="584">
        <f t="shared" si="337"/>
        <v>0</v>
      </c>
      <c r="T95" s="584">
        <f t="shared" si="337"/>
        <v>0</v>
      </c>
      <c r="U95" s="584">
        <f t="shared" si="337"/>
        <v>0</v>
      </c>
      <c r="V95" s="584">
        <f t="shared" si="337"/>
        <v>0</v>
      </c>
      <c r="W95" s="584">
        <f t="shared" si="337"/>
        <v>0</v>
      </c>
      <c r="X95" s="584">
        <f t="shared" si="337"/>
        <v>0</v>
      </c>
      <c r="Y95" s="584">
        <f t="shared" si="337"/>
        <v>0</v>
      </c>
      <c r="Z95" s="584">
        <f t="shared" si="337"/>
        <v>0</v>
      </c>
      <c r="AA95" s="584">
        <f t="shared" si="337"/>
        <v>0</v>
      </c>
      <c r="AB95" s="584">
        <f t="shared" si="337"/>
        <v>0</v>
      </c>
      <c r="AC95" s="584">
        <f t="shared" si="337"/>
        <v>0</v>
      </c>
      <c r="AD95" s="584">
        <f t="shared" si="337"/>
        <v>0</v>
      </c>
      <c r="AE95" s="584">
        <f t="shared" si="337"/>
        <v>0</v>
      </c>
      <c r="AF95" s="584">
        <f t="shared" si="337"/>
        <v>0</v>
      </c>
      <c r="AG95" s="584">
        <f t="shared" si="337"/>
        <v>0</v>
      </c>
      <c r="AH95" s="584">
        <f t="shared" si="337"/>
        <v>0</v>
      </c>
      <c r="AI95" s="584">
        <f t="shared" si="337"/>
        <v>0</v>
      </c>
      <c r="AJ95" s="584">
        <f t="shared" si="337"/>
        <v>0</v>
      </c>
      <c r="AK95" s="584">
        <f t="shared" si="337"/>
        <v>0</v>
      </c>
      <c r="AL95" s="584">
        <f t="shared" si="337"/>
        <v>0</v>
      </c>
      <c r="AM95" s="584">
        <f t="shared" si="337"/>
        <v>0</v>
      </c>
      <c r="AN95" s="584">
        <f t="shared" si="337"/>
        <v>0</v>
      </c>
      <c r="AO95" s="584">
        <f t="shared" si="337"/>
        <v>0</v>
      </c>
    </row>
    <row r="96" spans="1:41" outlineLevel="2">
      <c r="A96" s="590" t="s">
        <v>681</v>
      </c>
      <c r="B96" s="584">
        <f>$B$90-B95</f>
        <v>0</v>
      </c>
      <c r="C96" s="584">
        <f>IF($B88&gt;=C92,$B90-(C93-PV($B86/12,12*($B87-C92),-$B89)),0)</f>
        <v>0</v>
      </c>
      <c r="D96" s="584">
        <f t="shared" ref="D96:AO96" si="338">IF($B88&gt;=D92,$B90-(D93-PV($B86/12,12*($B87-D92),-$B89)),0)</f>
        <v>0</v>
      </c>
      <c r="E96" s="584">
        <f t="shared" si="338"/>
        <v>0</v>
      </c>
      <c r="F96" s="584">
        <f>IF($B88&gt;=F92,$B90-(F93-PV($B86/12,12*($B87-F92),-$B89)),0)</f>
        <v>0</v>
      </c>
      <c r="G96" s="584">
        <f t="shared" si="338"/>
        <v>0</v>
      </c>
      <c r="H96" s="584">
        <f t="shared" si="338"/>
        <v>0</v>
      </c>
      <c r="I96" s="584">
        <f t="shared" si="338"/>
        <v>0</v>
      </c>
      <c r="J96" s="584">
        <f t="shared" si="338"/>
        <v>0</v>
      </c>
      <c r="K96" s="584">
        <f t="shared" si="338"/>
        <v>0</v>
      </c>
      <c r="L96" s="584">
        <f t="shared" si="338"/>
        <v>0</v>
      </c>
      <c r="M96" s="584">
        <f t="shared" si="338"/>
        <v>0</v>
      </c>
      <c r="N96" s="584">
        <f t="shared" si="338"/>
        <v>0</v>
      </c>
      <c r="O96" s="584">
        <f t="shared" si="338"/>
        <v>0</v>
      </c>
      <c r="P96" s="584">
        <f t="shared" si="338"/>
        <v>0</v>
      </c>
      <c r="Q96" s="584">
        <f t="shared" si="338"/>
        <v>0</v>
      </c>
      <c r="R96" s="584">
        <f t="shared" si="338"/>
        <v>0</v>
      </c>
      <c r="S96" s="584">
        <f t="shared" si="338"/>
        <v>0</v>
      </c>
      <c r="T96" s="584">
        <f t="shared" si="338"/>
        <v>0</v>
      </c>
      <c r="U96" s="584">
        <f t="shared" si="338"/>
        <v>0</v>
      </c>
      <c r="V96" s="584">
        <f t="shared" si="338"/>
        <v>0</v>
      </c>
      <c r="W96" s="584">
        <f t="shared" si="338"/>
        <v>0</v>
      </c>
      <c r="X96" s="584">
        <f t="shared" si="338"/>
        <v>0</v>
      </c>
      <c r="Y96" s="584">
        <f t="shared" si="338"/>
        <v>0</v>
      </c>
      <c r="Z96" s="584">
        <f t="shared" si="338"/>
        <v>0</v>
      </c>
      <c r="AA96" s="584">
        <f t="shared" si="338"/>
        <v>0</v>
      </c>
      <c r="AB96" s="584">
        <f t="shared" si="338"/>
        <v>0</v>
      </c>
      <c r="AC96" s="584">
        <f t="shared" si="338"/>
        <v>0</v>
      </c>
      <c r="AD96" s="584">
        <f t="shared" si="338"/>
        <v>0</v>
      </c>
      <c r="AE96" s="584">
        <f t="shared" si="338"/>
        <v>0</v>
      </c>
      <c r="AF96" s="584">
        <f t="shared" si="338"/>
        <v>0</v>
      </c>
      <c r="AG96" s="584">
        <f t="shared" si="338"/>
        <v>0</v>
      </c>
      <c r="AH96" s="584">
        <f t="shared" si="338"/>
        <v>0</v>
      </c>
      <c r="AI96" s="584">
        <f t="shared" si="338"/>
        <v>0</v>
      </c>
      <c r="AJ96" s="584">
        <f t="shared" si="338"/>
        <v>0</v>
      </c>
      <c r="AK96" s="584">
        <f t="shared" si="338"/>
        <v>0</v>
      </c>
      <c r="AL96" s="584">
        <f t="shared" si="338"/>
        <v>0</v>
      </c>
      <c r="AM96" s="584">
        <f t="shared" si="338"/>
        <v>0</v>
      </c>
      <c r="AN96" s="584">
        <f>IF($B88&gt;=AN92,$B90-(AN93-PV($B86/12,12*($B87-AN92),-$B89)),0)</f>
        <v>0</v>
      </c>
      <c r="AO96" s="584">
        <f t="shared" si="338"/>
        <v>0</v>
      </c>
    </row>
    <row r="97" spans="1:41" outlineLevel="2">
      <c r="A97" s="590" t="s">
        <v>689</v>
      </c>
      <c r="B97" s="584">
        <f>B95+B96</f>
        <v>0</v>
      </c>
      <c r="C97" s="584">
        <f t="shared" ref="C97:AO97" si="339">C95+C96</f>
        <v>0</v>
      </c>
      <c r="D97" s="584">
        <f>D95+D96</f>
        <v>0</v>
      </c>
      <c r="E97" s="584">
        <f t="shared" si="339"/>
        <v>0</v>
      </c>
      <c r="F97" s="584">
        <f t="shared" si="339"/>
        <v>0</v>
      </c>
      <c r="G97" s="584">
        <f t="shared" si="339"/>
        <v>0</v>
      </c>
      <c r="H97" s="584">
        <f t="shared" si="339"/>
        <v>0</v>
      </c>
      <c r="I97" s="584">
        <f t="shared" si="339"/>
        <v>0</v>
      </c>
      <c r="J97" s="584">
        <f t="shared" si="339"/>
        <v>0</v>
      </c>
      <c r="K97" s="584">
        <f t="shared" si="339"/>
        <v>0</v>
      </c>
      <c r="L97" s="584">
        <f t="shared" si="339"/>
        <v>0</v>
      </c>
      <c r="M97" s="584">
        <f t="shared" si="339"/>
        <v>0</v>
      </c>
      <c r="N97" s="584">
        <f t="shared" si="339"/>
        <v>0</v>
      </c>
      <c r="O97" s="584">
        <f t="shared" si="339"/>
        <v>0</v>
      </c>
      <c r="P97" s="584">
        <f t="shared" si="339"/>
        <v>0</v>
      </c>
      <c r="Q97" s="584">
        <f t="shared" si="339"/>
        <v>0</v>
      </c>
      <c r="R97" s="584">
        <f t="shared" si="339"/>
        <v>0</v>
      </c>
      <c r="S97" s="584">
        <f t="shared" si="339"/>
        <v>0</v>
      </c>
      <c r="T97" s="584">
        <f t="shared" si="339"/>
        <v>0</v>
      </c>
      <c r="U97" s="584">
        <f t="shared" si="339"/>
        <v>0</v>
      </c>
      <c r="V97" s="584">
        <f t="shared" si="339"/>
        <v>0</v>
      </c>
      <c r="W97" s="584">
        <f t="shared" si="339"/>
        <v>0</v>
      </c>
      <c r="X97" s="584">
        <f t="shared" si="339"/>
        <v>0</v>
      </c>
      <c r="Y97" s="584">
        <f t="shared" si="339"/>
        <v>0</v>
      </c>
      <c r="Z97" s="584">
        <f t="shared" si="339"/>
        <v>0</v>
      </c>
      <c r="AA97" s="584">
        <f t="shared" si="339"/>
        <v>0</v>
      </c>
      <c r="AB97" s="584">
        <f t="shared" si="339"/>
        <v>0</v>
      </c>
      <c r="AC97" s="584">
        <f t="shared" si="339"/>
        <v>0</v>
      </c>
      <c r="AD97" s="584">
        <f t="shared" si="339"/>
        <v>0</v>
      </c>
      <c r="AE97" s="584">
        <f t="shared" si="339"/>
        <v>0</v>
      </c>
      <c r="AF97" s="584">
        <f t="shared" si="339"/>
        <v>0</v>
      </c>
      <c r="AG97" s="584">
        <f t="shared" si="339"/>
        <v>0</v>
      </c>
      <c r="AH97" s="584">
        <f t="shared" si="339"/>
        <v>0</v>
      </c>
      <c r="AI97" s="584">
        <f t="shared" si="339"/>
        <v>0</v>
      </c>
      <c r="AJ97" s="584">
        <f t="shared" si="339"/>
        <v>0</v>
      </c>
      <c r="AK97" s="584">
        <f t="shared" si="339"/>
        <v>0</v>
      </c>
      <c r="AL97" s="584">
        <f t="shared" si="339"/>
        <v>0</v>
      </c>
      <c r="AM97" s="584">
        <f t="shared" si="339"/>
        <v>0</v>
      </c>
      <c r="AN97" s="584">
        <f t="shared" si="339"/>
        <v>0</v>
      </c>
      <c r="AO97" s="584">
        <f t="shared" si="339"/>
        <v>0</v>
      </c>
    </row>
    <row r="98" spans="1:41" outlineLevel="1">
      <c r="A98" s="590"/>
    </row>
    <row r="99" spans="1:41" outlineLevel="2" collapsed="1">
      <c r="A99" s="590"/>
    </row>
    <row r="100" spans="1:41" outlineLevel="2">
      <c r="A100" s="585" t="str">
        <f>assumptions!A27</f>
        <v>[Additional Field - Specify] (Amortizing)</v>
      </c>
    </row>
    <row r="101" spans="1:41" outlineLevel="2">
      <c r="A101" s="585"/>
    </row>
    <row r="102" spans="1:41" outlineLevel="2">
      <c r="A102" s="586" t="s">
        <v>680</v>
      </c>
      <c r="B102" s="584">
        <f>assumptions!B27</f>
        <v>0</v>
      </c>
    </row>
    <row r="103" spans="1:41" outlineLevel="2">
      <c r="A103" s="586" t="s">
        <v>681</v>
      </c>
      <c r="B103" s="587">
        <f>assumptions!D27</f>
        <v>0</v>
      </c>
    </row>
    <row r="104" spans="1:41" outlineLevel="2">
      <c r="A104" s="586" t="s">
        <v>682</v>
      </c>
      <c r="B104" s="584">
        <f>assumptions!E27</f>
        <v>0</v>
      </c>
    </row>
    <row r="105" spans="1:41" outlineLevel="2">
      <c r="A105" s="586" t="s">
        <v>683</v>
      </c>
      <c r="B105" s="584">
        <f>assumptions!F27</f>
        <v>0</v>
      </c>
    </row>
    <row r="106" spans="1:41" outlineLevel="2">
      <c r="A106" s="586" t="s">
        <v>684</v>
      </c>
      <c r="B106" s="584">
        <f>IF(B102=0,0,PMT(B103/12,B104*12,-B102))</f>
        <v>0</v>
      </c>
    </row>
    <row r="107" spans="1:41" outlineLevel="2">
      <c r="A107" s="586" t="s">
        <v>685</v>
      </c>
      <c r="B107" s="584">
        <f>B106*12</f>
        <v>0</v>
      </c>
    </row>
    <row r="108" spans="1:41" outlineLevel="2"/>
    <row r="109" spans="1:41" outlineLevel="2">
      <c r="A109" s="588" t="s">
        <v>686</v>
      </c>
      <c r="B109" s="589">
        <v>1</v>
      </c>
      <c r="C109" s="589">
        <f t="shared" ref="C109" si="340">B109+1</f>
        <v>2</v>
      </c>
      <c r="D109" s="589">
        <f t="shared" ref="D109" si="341">C109+1</f>
        <v>3</v>
      </c>
      <c r="E109" s="589">
        <f t="shared" ref="E109" si="342">D109+1</f>
        <v>4</v>
      </c>
      <c r="F109" s="589">
        <f t="shared" ref="F109" si="343">E109+1</f>
        <v>5</v>
      </c>
      <c r="G109" s="589">
        <f t="shared" ref="G109" si="344">F109+1</f>
        <v>6</v>
      </c>
      <c r="H109" s="589">
        <f t="shared" ref="H109" si="345">G109+1</f>
        <v>7</v>
      </c>
      <c r="I109" s="589">
        <f t="shared" ref="I109" si="346">H109+1</f>
        <v>8</v>
      </c>
      <c r="J109" s="589">
        <f t="shared" ref="J109" si="347">I109+1</f>
        <v>9</v>
      </c>
      <c r="K109" s="589">
        <f t="shared" ref="K109" si="348">J109+1</f>
        <v>10</v>
      </c>
      <c r="L109" s="589">
        <f t="shared" ref="L109" si="349">K109+1</f>
        <v>11</v>
      </c>
      <c r="M109" s="589">
        <f t="shared" ref="M109" si="350">L109+1</f>
        <v>12</v>
      </c>
      <c r="N109" s="589">
        <f t="shared" ref="N109" si="351">M109+1</f>
        <v>13</v>
      </c>
      <c r="O109" s="589">
        <f t="shared" ref="O109" si="352">N109+1</f>
        <v>14</v>
      </c>
      <c r="P109" s="589">
        <f t="shared" ref="P109" si="353">O109+1</f>
        <v>15</v>
      </c>
      <c r="Q109" s="589">
        <f t="shared" ref="Q109" si="354">P109+1</f>
        <v>16</v>
      </c>
      <c r="R109" s="589">
        <f t="shared" ref="R109" si="355">Q109+1</f>
        <v>17</v>
      </c>
      <c r="S109" s="589">
        <f t="shared" ref="S109" si="356">R109+1</f>
        <v>18</v>
      </c>
      <c r="T109" s="589">
        <f t="shared" ref="T109" si="357">S109+1</f>
        <v>19</v>
      </c>
      <c r="U109" s="589">
        <f t="shared" ref="U109" si="358">T109+1</f>
        <v>20</v>
      </c>
      <c r="V109" s="589">
        <f t="shared" ref="V109" si="359">U109+1</f>
        <v>21</v>
      </c>
      <c r="W109" s="589">
        <f t="shared" ref="W109" si="360">V109+1</f>
        <v>22</v>
      </c>
      <c r="X109" s="589">
        <f t="shared" ref="X109" si="361">W109+1</f>
        <v>23</v>
      </c>
      <c r="Y109" s="589">
        <f t="shared" ref="Y109" si="362">X109+1</f>
        <v>24</v>
      </c>
      <c r="Z109" s="589">
        <f t="shared" ref="Z109" si="363">Y109+1</f>
        <v>25</v>
      </c>
      <c r="AA109" s="589">
        <f t="shared" ref="AA109" si="364">Z109+1</f>
        <v>26</v>
      </c>
      <c r="AB109" s="589">
        <f t="shared" ref="AB109" si="365">AA109+1</f>
        <v>27</v>
      </c>
      <c r="AC109" s="589">
        <f t="shared" ref="AC109" si="366">AB109+1</f>
        <v>28</v>
      </c>
      <c r="AD109" s="589">
        <f t="shared" ref="AD109" si="367">AC109+1</f>
        <v>29</v>
      </c>
      <c r="AE109" s="589">
        <f t="shared" ref="AE109" si="368">AD109+1</f>
        <v>30</v>
      </c>
      <c r="AF109" s="589">
        <f t="shared" ref="AF109" si="369">AE109+1</f>
        <v>31</v>
      </c>
      <c r="AG109" s="589">
        <f t="shared" ref="AG109" si="370">AF109+1</f>
        <v>32</v>
      </c>
      <c r="AH109" s="589">
        <f t="shared" ref="AH109" si="371">AG109+1</f>
        <v>33</v>
      </c>
      <c r="AI109" s="589">
        <f t="shared" ref="AI109" si="372">AH109+1</f>
        <v>34</v>
      </c>
      <c r="AJ109" s="589">
        <f t="shared" ref="AJ109" si="373">AI109+1</f>
        <v>35</v>
      </c>
      <c r="AK109" s="589">
        <f t="shared" ref="AK109" si="374">AJ109+1</f>
        <v>36</v>
      </c>
      <c r="AL109" s="589">
        <f t="shared" ref="AL109" si="375">AK109+1</f>
        <v>37</v>
      </c>
      <c r="AM109" s="589">
        <f t="shared" ref="AM109" si="376">AL109+1</f>
        <v>38</v>
      </c>
      <c r="AN109" s="589">
        <f t="shared" ref="AN109" si="377">AM109+1</f>
        <v>39</v>
      </c>
      <c r="AO109" s="589">
        <f t="shared" ref="AO109" si="378">AN109+1</f>
        <v>40</v>
      </c>
    </row>
    <row r="110" spans="1:41" outlineLevel="2">
      <c r="A110" s="590" t="s">
        <v>687</v>
      </c>
      <c r="B110" s="584">
        <f>B102</f>
        <v>0</v>
      </c>
      <c r="C110" s="584">
        <f>B111</f>
        <v>0</v>
      </c>
      <c r="D110" s="584">
        <f>C111</f>
        <v>0</v>
      </c>
      <c r="E110" s="584">
        <f>D111</f>
        <v>0</v>
      </c>
      <c r="F110" s="584">
        <f t="shared" ref="F110" si="379">E111</f>
        <v>0</v>
      </c>
      <c r="G110" s="584">
        <f t="shared" ref="G110" si="380">F111</f>
        <v>0</v>
      </c>
      <c r="H110" s="584">
        <f t="shared" ref="H110" si="381">G111</f>
        <v>0</v>
      </c>
      <c r="I110" s="584">
        <f t="shared" ref="I110" si="382">H111</f>
        <v>0</v>
      </c>
      <c r="J110" s="584">
        <f t="shared" ref="J110" si="383">I111</f>
        <v>0</v>
      </c>
      <c r="K110" s="584">
        <f t="shared" ref="K110" si="384">J111</f>
        <v>0</v>
      </c>
      <c r="L110" s="584">
        <f t="shared" ref="L110" si="385">K111</f>
        <v>0</v>
      </c>
      <c r="M110" s="584">
        <f t="shared" ref="M110" si="386">L111</f>
        <v>0</v>
      </c>
      <c r="N110" s="584">
        <f t="shared" ref="N110" si="387">M111</f>
        <v>0</v>
      </c>
      <c r="O110" s="584">
        <f t="shared" ref="O110" si="388">N111</f>
        <v>0</v>
      </c>
      <c r="P110" s="584">
        <f t="shared" ref="P110" si="389">O111</f>
        <v>0</v>
      </c>
      <c r="Q110" s="584">
        <f t="shared" ref="Q110" si="390">P111</f>
        <v>0</v>
      </c>
      <c r="R110" s="584">
        <f t="shared" ref="R110" si="391">Q111</f>
        <v>0</v>
      </c>
      <c r="S110" s="584">
        <f t="shared" ref="S110" si="392">R111</f>
        <v>0</v>
      </c>
      <c r="T110" s="584">
        <f t="shared" ref="T110" si="393">S111</f>
        <v>0</v>
      </c>
      <c r="U110" s="584">
        <f t="shared" ref="U110" si="394">T111</f>
        <v>0</v>
      </c>
      <c r="V110" s="584">
        <f t="shared" ref="V110" si="395">U111</f>
        <v>0</v>
      </c>
      <c r="W110" s="584">
        <f t="shared" ref="W110" si="396">V111</f>
        <v>0</v>
      </c>
      <c r="X110" s="584">
        <f t="shared" ref="X110" si="397">W111</f>
        <v>0</v>
      </c>
      <c r="Y110" s="584">
        <f t="shared" ref="Y110" si="398">X111</f>
        <v>0</v>
      </c>
      <c r="Z110" s="584">
        <f t="shared" ref="Z110" si="399">Y111</f>
        <v>0</v>
      </c>
      <c r="AA110" s="584">
        <f t="shared" ref="AA110" si="400">Z111</f>
        <v>0</v>
      </c>
      <c r="AB110" s="584">
        <f t="shared" ref="AB110" si="401">AA111</f>
        <v>0</v>
      </c>
      <c r="AC110" s="584">
        <f t="shared" ref="AC110" si="402">AB111</f>
        <v>0</v>
      </c>
      <c r="AD110" s="584">
        <f t="shared" ref="AD110" si="403">AC111</f>
        <v>0</v>
      </c>
      <c r="AE110" s="584">
        <f t="shared" ref="AE110" si="404">AD111</f>
        <v>0</v>
      </c>
      <c r="AF110" s="584">
        <f t="shared" ref="AF110" si="405">AE111</f>
        <v>0</v>
      </c>
      <c r="AG110" s="584">
        <f t="shared" ref="AG110" si="406">AF111</f>
        <v>0</v>
      </c>
      <c r="AH110" s="584">
        <f t="shared" ref="AH110" si="407">AG111</f>
        <v>0</v>
      </c>
      <c r="AI110" s="584">
        <f t="shared" ref="AI110" si="408">AH111</f>
        <v>0</v>
      </c>
      <c r="AJ110" s="584">
        <f t="shared" ref="AJ110" si="409">AI111</f>
        <v>0</v>
      </c>
      <c r="AK110" s="584">
        <f t="shared" ref="AK110" si="410">AJ111</f>
        <v>0</v>
      </c>
      <c r="AL110" s="584">
        <f t="shared" ref="AL110" si="411">AK111</f>
        <v>0</v>
      </c>
      <c r="AM110" s="584">
        <f t="shared" ref="AM110" si="412">AL111</f>
        <v>0</v>
      </c>
      <c r="AN110" s="584">
        <f t="shared" ref="AN110" si="413">AM111</f>
        <v>0</v>
      </c>
      <c r="AO110" s="584">
        <f t="shared" ref="AO110" si="414">AN111</f>
        <v>0</v>
      </c>
    </row>
    <row r="111" spans="1:41" outlineLevel="2">
      <c r="A111" s="590" t="s">
        <v>688</v>
      </c>
      <c r="B111" s="584">
        <f>PV($B$103/12,12*($B$104-B$109),-$B$106)</f>
        <v>0</v>
      </c>
      <c r="C111" s="584">
        <f>IF($B105&lt;=C109,0,PV($B103/12,12*($B104-C109),-$B106))</f>
        <v>0</v>
      </c>
      <c r="D111" s="584">
        <f>IF($B105&lt;=D109,0,PV($B103/12,12*($B104-D109),-$B106))</f>
        <v>0</v>
      </c>
      <c r="E111" s="584">
        <f>IF($B105&lt;=E109,0,PV($B103/12,12*($B104-E109),-$B106))</f>
        <v>0</v>
      </c>
      <c r="F111" s="584">
        <f t="shared" ref="F111:AO111" si="415">IF($B105&lt;=F109,0,PV($B103/12,12*($B104-F109),-$B106))</f>
        <v>0</v>
      </c>
      <c r="G111" s="584">
        <f t="shared" si="415"/>
        <v>0</v>
      </c>
      <c r="H111" s="584">
        <f t="shared" si="415"/>
        <v>0</v>
      </c>
      <c r="I111" s="584">
        <f t="shared" si="415"/>
        <v>0</v>
      </c>
      <c r="J111" s="584">
        <f t="shared" si="415"/>
        <v>0</v>
      </c>
      <c r="K111" s="584">
        <f t="shared" si="415"/>
        <v>0</v>
      </c>
      <c r="L111" s="584">
        <f t="shared" si="415"/>
        <v>0</v>
      </c>
      <c r="M111" s="584">
        <f t="shared" si="415"/>
        <v>0</v>
      </c>
      <c r="N111" s="584">
        <f t="shared" si="415"/>
        <v>0</v>
      </c>
      <c r="O111" s="584">
        <f t="shared" si="415"/>
        <v>0</v>
      </c>
      <c r="P111" s="584">
        <f t="shared" si="415"/>
        <v>0</v>
      </c>
      <c r="Q111" s="584">
        <f t="shared" si="415"/>
        <v>0</v>
      </c>
      <c r="R111" s="584">
        <f t="shared" si="415"/>
        <v>0</v>
      </c>
      <c r="S111" s="584">
        <f t="shared" si="415"/>
        <v>0</v>
      </c>
      <c r="T111" s="584">
        <f t="shared" si="415"/>
        <v>0</v>
      </c>
      <c r="U111" s="584">
        <f t="shared" si="415"/>
        <v>0</v>
      </c>
      <c r="V111" s="584">
        <f t="shared" si="415"/>
        <v>0</v>
      </c>
      <c r="W111" s="584">
        <f t="shared" si="415"/>
        <v>0</v>
      </c>
      <c r="X111" s="584">
        <f t="shared" si="415"/>
        <v>0</v>
      </c>
      <c r="Y111" s="584">
        <f t="shared" si="415"/>
        <v>0</v>
      </c>
      <c r="Z111" s="584">
        <f t="shared" si="415"/>
        <v>0</v>
      </c>
      <c r="AA111" s="584">
        <f t="shared" si="415"/>
        <v>0</v>
      </c>
      <c r="AB111" s="584">
        <f t="shared" si="415"/>
        <v>0</v>
      </c>
      <c r="AC111" s="584">
        <f t="shared" si="415"/>
        <v>0</v>
      </c>
      <c r="AD111" s="584">
        <f t="shared" si="415"/>
        <v>0</v>
      </c>
      <c r="AE111" s="584">
        <f t="shared" si="415"/>
        <v>0</v>
      </c>
      <c r="AF111" s="584">
        <f t="shared" si="415"/>
        <v>0</v>
      </c>
      <c r="AG111" s="584">
        <f t="shared" si="415"/>
        <v>0</v>
      </c>
      <c r="AH111" s="584">
        <f t="shared" si="415"/>
        <v>0</v>
      </c>
      <c r="AI111" s="584">
        <f t="shared" si="415"/>
        <v>0</v>
      </c>
      <c r="AJ111" s="584">
        <f t="shared" si="415"/>
        <v>0</v>
      </c>
      <c r="AK111" s="584">
        <f t="shared" si="415"/>
        <v>0</v>
      </c>
      <c r="AL111" s="584">
        <f t="shared" si="415"/>
        <v>0</v>
      </c>
      <c r="AM111" s="584">
        <f t="shared" si="415"/>
        <v>0</v>
      </c>
      <c r="AN111" s="584">
        <f t="shared" si="415"/>
        <v>0</v>
      </c>
      <c r="AO111" s="584">
        <f t="shared" si="415"/>
        <v>0</v>
      </c>
    </row>
    <row r="112" spans="1:41" outlineLevel="2">
      <c r="A112" s="590" t="s">
        <v>680</v>
      </c>
      <c r="B112" s="584">
        <f>B110-B111</f>
        <v>0</v>
      </c>
      <c r="C112" s="584">
        <f>IF($B105&lt;=C109,C110,C110-PV($B103/12,12*($B104-C109),-$B106))</f>
        <v>0</v>
      </c>
      <c r="D112" s="584">
        <f>IF($B105&lt;=D109,D110,D110-PV($B103/12,12*($B104-D109),-$B106))</f>
        <v>0</v>
      </c>
      <c r="E112" s="584">
        <f>IF($B105&lt;=E109,E110,E110-PV($B103/12,12*($B104-E109),-$B106))</f>
        <v>0</v>
      </c>
      <c r="F112" s="584">
        <f t="shared" ref="F112:AO112" si="416">IF($B105&lt;=F109,F110,F110-PV($B103/12,12*($B104-F109),-$B106))</f>
        <v>0</v>
      </c>
      <c r="G112" s="584">
        <f t="shared" si="416"/>
        <v>0</v>
      </c>
      <c r="H112" s="584">
        <f t="shared" si="416"/>
        <v>0</v>
      </c>
      <c r="I112" s="584">
        <f t="shared" si="416"/>
        <v>0</v>
      </c>
      <c r="J112" s="584">
        <f>IF($B105&lt;=J109,J110,J110-PV($B103/12,12*($B104-J109),-$B106))</f>
        <v>0</v>
      </c>
      <c r="K112" s="584">
        <f t="shared" si="416"/>
        <v>0</v>
      </c>
      <c r="L112" s="584">
        <f>IF($B105&lt;=L109,L110,L110-PV($B103/12,12*($B104-L109),-$B106))</f>
        <v>0</v>
      </c>
      <c r="M112" s="584">
        <f t="shared" si="416"/>
        <v>0</v>
      </c>
      <c r="N112" s="584">
        <f t="shared" si="416"/>
        <v>0</v>
      </c>
      <c r="O112" s="584">
        <f t="shared" si="416"/>
        <v>0</v>
      </c>
      <c r="P112" s="584">
        <f t="shared" si="416"/>
        <v>0</v>
      </c>
      <c r="Q112" s="584">
        <f t="shared" si="416"/>
        <v>0</v>
      </c>
      <c r="R112" s="584">
        <f t="shared" si="416"/>
        <v>0</v>
      </c>
      <c r="S112" s="584">
        <f t="shared" si="416"/>
        <v>0</v>
      </c>
      <c r="T112" s="584">
        <f t="shared" si="416"/>
        <v>0</v>
      </c>
      <c r="U112" s="584">
        <f t="shared" si="416"/>
        <v>0</v>
      </c>
      <c r="V112" s="584">
        <f t="shared" si="416"/>
        <v>0</v>
      </c>
      <c r="W112" s="584">
        <f t="shared" si="416"/>
        <v>0</v>
      </c>
      <c r="X112" s="584">
        <f t="shared" si="416"/>
        <v>0</v>
      </c>
      <c r="Y112" s="584">
        <f t="shared" si="416"/>
        <v>0</v>
      </c>
      <c r="Z112" s="584">
        <f t="shared" si="416"/>
        <v>0</v>
      </c>
      <c r="AA112" s="584">
        <f t="shared" si="416"/>
        <v>0</v>
      </c>
      <c r="AB112" s="584">
        <f t="shared" si="416"/>
        <v>0</v>
      </c>
      <c r="AC112" s="584">
        <f t="shared" si="416"/>
        <v>0</v>
      </c>
      <c r="AD112" s="584">
        <f t="shared" si="416"/>
        <v>0</v>
      </c>
      <c r="AE112" s="584">
        <f t="shared" si="416"/>
        <v>0</v>
      </c>
      <c r="AF112" s="584">
        <f t="shared" si="416"/>
        <v>0</v>
      </c>
      <c r="AG112" s="584">
        <f t="shared" si="416"/>
        <v>0</v>
      </c>
      <c r="AH112" s="584">
        <f t="shared" si="416"/>
        <v>0</v>
      </c>
      <c r="AI112" s="584">
        <f t="shared" si="416"/>
        <v>0</v>
      </c>
      <c r="AJ112" s="584">
        <f t="shared" si="416"/>
        <v>0</v>
      </c>
      <c r="AK112" s="584">
        <f t="shared" si="416"/>
        <v>0</v>
      </c>
      <c r="AL112" s="584">
        <f t="shared" si="416"/>
        <v>0</v>
      </c>
      <c r="AM112" s="584">
        <f t="shared" si="416"/>
        <v>0</v>
      </c>
      <c r="AN112" s="584">
        <f t="shared" si="416"/>
        <v>0</v>
      </c>
      <c r="AO112" s="584">
        <f t="shared" si="416"/>
        <v>0</v>
      </c>
    </row>
    <row r="113" spans="1:41" outlineLevel="2">
      <c r="A113" s="590" t="s">
        <v>681</v>
      </c>
      <c r="B113" s="584">
        <f>$B$107-B112</f>
        <v>0</v>
      </c>
      <c r="C113" s="584">
        <f>IF($B105&gt;=C109,$B107-(C110-PV($B103/12,12*($B104-C109),-$B106)),0)</f>
        <v>0</v>
      </c>
      <c r="D113" s="584">
        <f>IF($B105&gt;=D109,$B107-(D110-PV($B103/12,12*($B104-D109),-$B106)),0)</f>
        <v>0</v>
      </c>
      <c r="E113" s="584">
        <f t="shared" ref="E113" si="417">IF($B105&gt;=E109,$B107-(E110-PV($B103/12,12*($B104-E109),-$B106)),0)</f>
        <v>0</v>
      </c>
      <c r="F113" s="584">
        <f>IF($B105&gt;=F109,$B107-(F110-PV($B103/12,12*($B104-F109),-$B106)),0)</f>
        <v>0</v>
      </c>
      <c r="G113" s="584">
        <f t="shared" ref="G113:AM113" si="418">IF($B105&gt;=G109,$B107-(G110-PV($B103/12,12*($B104-G109),-$B106)),0)</f>
        <v>0</v>
      </c>
      <c r="H113" s="584">
        <f t="shared" si="418"/>
        <v>0</v>
      </c>
      <c r="I113" s="584">
        <f t="shared" si="418"/>
        <v>0</v>
      </c>
      <c r="J113" s="584">
        <f t="shared" si="418"/>
        <v>0</v>
      </c>
      <c r="K113" s="584">
        <f t="shared" si="418"/>
        <v>0</v>
      </c>
      <c r="L113" s="584">
        <f>IF($B105&gt;=L109,$B107-(L110-PV($B103/12,12*($B104-L109),-$B106)),0)</f>
        <v>0</v>
      </c>
      <c r="M113" s="584">
        <f t="shared" si="418"/>
        <v>0</v>
      </c>
      <c r="N113" s="584">
        <f t="shared" si="418"/>
        <v>0</v>
      </c>
      <c r="O113" s="584">
        <f t="shared" si="418"/>
        <v>0</v>
      </c>
      <c r="P113" s="584">
        <f t="shared" si="418"/>
        <v>0</v>
      </c>
      <c r="Q113" s="584">
        <f t="shared" si="418"/>
        <v>0</v>
      </c>
      <c r="R113" s="584">
        <f t="shared" si="418"/>
        <v>0</v>
      </c>
      <c r="S113" s="584">
        <f t="shared" si="418"/>
        <v>0</v>
      </c>
      <c r="T113" s="584">
        <f t="shared" si="418"/>
        <v>0</v>
      </c>
      <c r="U113" s="584">
        <f t="shared" si="418"/>
        <v>0</v>
      </c>
      <c r="V113" s="584">
        <f t="shared" si="418"/>
        <v>0</v>
      </c>
      <c r="W113" s="584">
        <f t="shared" si="418"/>
        <v>0</v>
      </c>
      <c r="X113" s="584">
        <f t="shared" si="418"/>
        <v>0</v>
      </c>
      <c r="Y113" s="584">
        <f t="shared" si="418"/>
        <v>0</v>
      </c>
      <c r="Z113" s="584">
        <f t="shared" si="418"/>
        <v>0</v>
      </c>
      <c r="AA113" s="584">
        <f t="shared" si="418"/>
        <v>0</v>
      </c>
      <c r="AB113" s="584">
        <f t="shared" si="418"/>
        <v>0</v>
      </c>
      <c r="AC113" s="584">
        <f t="shared" si="418"/>
        <v>0</v>
      </c>
      <c r="AD113" s="584">
        <f t="shared" si="418"/>
        <v>0</v>
      </c>
      <c r="AE113" s="584">
        <f t="shared" si="418"/>
        <v>0</v>
      </c>
      <c r="AF113" s="584">
        <f t="shared" si="418"/>
        <v>0</v>
      </c>
      <c r="AG113" s="584">
        <f t="shared" si="418"/>
        <v>0</v>
      </c>
      <c r="AH113" s="584">
        <f t="shared" si="418"/>
        <v>0</v>
      </c>
      <c r="AI113" s="584">
        <f t="shared" si="418"/>
        <v>0</v>
      </c>
      <c r="AJ113" s="584">
        <f t="shared" si="418"/>
        <v>0</v>
      </c>
      <c r="AK113" s="584">
        <f t="shared" si="418"/>
        <v>0</v>
      </c>
      <c r="AL113" s="584">
        <f t="shared" si="418"/>
        <v>0</v>
      </c>
      <c r="AM113" s="584">
        <f t="shared" si="418"/>
        <v>0</v>
      </c>
      <c r="AN113" s="584">
        <f>IF($B105&gt;=AN109,$B107-(AN110-PV($B103/12,12*($B104-AN109),-$B106)),0)</f>
        <v>0</v>
      </c>
      <c r="AO113" s="584">
        <f t="shared" ref="AO113" si="419">IF($B105&gt;=AO109,$B107-(AO110-PV($B103/12,12*($B104-AO109),-$B106)),0)</f>
        <v>0</v>
      </c>
    </row>
    <row r="114" spans="1:41" outlineLevel="2">
      <c r="A114" s="590" t="s">
        <v>689</v>
      </c>
      <c r="B114" s="584">
        <f>B112+B113</f>
        <v>0</v>
      </c>
      <c r="C114" s="584">
        <f t="shared" ref="C114" si="420">C112+C113</f>
        <v>0</v>
      </c>
      <c r="D114" s="584">
        <f>D112+D113</f>
        <v>0</v>
      </c>
      <c r="E114" s="584">
        <f t="shared" ref="E114:AO114" si="421">E112+E113</f>
        <v>0</v>
      </c>
      <c r="F114" s="584">
        <f t="shared" si="421"/>
        <v>0</v>
      </c>
      <c r="G114" s="584">
        <f t="shared" si="421"/>
        <v>0</v>
      </c>
      <c r="H114" s="584">
        <f t="shared" si="421"/>
        <v>0</v>
      </c>
      <c r="I114" s="584">
        <f t="shared" si="421"/>
        <v>0</v>
      </c>
      <c r="J114" s="584">
        <f t="shared" si="421"/>
        <v>0</v>
      </c>
      <c r="K114" s="584">
        <f t="shared" si="421"/>
        <v>0</v>
      </c>
      <c r="L114" s="584">
        <f>L112+L113</f>
        <v>0</v>
      </c>
      <c r="M114" s="584">
        <f t="shared" si="421"/>
        <v>0</v>
      </c>
      <c r="N114" s="584">
        <f t="shared" si="421"/>
        <v>0</v>
      </c>
      <c r="O114" s="584">
        <f t="shared" si="421"/>
        <v>0</v>
      </c>
      <c r="P114" s="584">
        <f t="shared" si="421"/>
        <v>0</v>
      </c>
      <c r="Q114" s="584">
        <f t="shared" si="421"/>
        <v>0</v>
      </c>
      <c r="R114" s="584">
        <f t="shared" si="421"/>
        <v>0</v>
      </c>
      <c r="S114" s="584">
        <f t="shared" si="421"/>
        <v>0</v>
      </c>
      <c r="T114" s="584">
        <f t="shared" si="421"/>
        <v>0</v>
      </c>
      <c r="U114" s="584">
        <f t="shared" si="421"/>
        <v>0</v>
      </c>
      <c r="V114" s="584">
        <f t="shared" si="421"/>
        <v>0</v>
      </c>
      <c r="W114" s="584">
        <f t="shared" si="421"/>
        <v>0</v>
      </c>
      <c r="X114" s="584">
        <f t="shared" si="421"/>
        <v>0</v>
      </c>
      <c r="Y114" s="584">
        <f t="shared" si="421"/>
        <v>0</v>
      </c>
      <c r="Z114" s="584">
        <f t="shared" si="421"/>
        <v>0</v>
      </c>
      <c r="AA114" s="584">
        <f t="shared" si="421"/>
        <v>0</v>
      </c>
      <c r="AB114" s="584">
        <f t="shared" si="421"/>
        <v>0</v>
      </c>
      <c r="AC114" s="584">
        <f t="shared" si="421"/>
        <v>0</v>
      </c>
      <c r="AD114" s="584">
        <f t="shared" si="421"/>
        <v>0</v>
      </c>
      <c r="AE114" s="584">
        <f t="shared" si="421"/>
        <v>0</v>
      </c>
      <c r="AF114" s="584">
        <f t="shared" si="421"/>
        <v>0</v>
      </c>
      <c r="AG114" s="584">
        <f t="shared" si="421"/>
        <v>0</v>
      </c>
      <c r="AH114" s="584">
        <f t="shared" si="421"/>
        <v>0</v>
      </c>
      <c r="AI114" s="584">
        <f t="shared" si="421"/>
        <v>0</v>
      </c>
      <c r="AJ114" s="584">
        <f t="shared" si="421"/>
        <v>0</v>
      </c>
      <c r="AK114" s="584">
        <f t="shared" si="421"/>
        <v>0</v>
      </c>
      <c r="AL114" s="584">
        <f t="shared" si="421"/>
        <v>0</v>
      </c>
      <c r="AM114" s="584">
        <f t="shared" si="421"/>
        <v>0</v>
      </c>
      <c r="AN114" s="584">
        <f t="shared" si="421"/>
        <v>0</v>
      </c>
      <c r="AO114" s="584">
        <f t="shared" si="421"/>
        <v>0</v>
      </c>
    </row>
    <row r="115" spans="1:41" outlineLevel="1">
      <c r="A115" s="590"/>
    </row>
    <row r="116" spans="1:41" outlineLevel="2">
      <c r="A116" s="590"/>
    </row>
    <row r="117" spans="1:41" outlineLevel="2">
      <c r="A117" s="585" t="str">
        <f>assumptions!A28</f>
        <v>[Additional Field - Specify] (Amortizing)</v>
      </c>
    </row>
    <row r="118" spans="1:41" outlineLevel="2">
      <c r="A118" s="585"/>
    </row>
    <row r="119" spans="1:41" outlineLevel="2">
      <c r="A119" s="586" t="s">
        <v>680</v>
      </c>
      <c r="B119" s="584">
        <f>assumptions!B28</f>
        <v>0</v>
      </c>
    </row>
    <row r="120" spans="1:41" outlineLevel="2">
      <c r="A120" s="586" t="s">
        <v>681</v>
      </c>
      <c r="B120" s="587">
        <f>assumptions!D28</f>
        <v>0</v>
      </c>
    </row>
    <row r="121" spans="1:41" outlineLevel="2">
      <c r="A121" s="586" t="s">
        <v>682</v>
      </c>
      <c r="B121" s="584">
        <f>assumptions!E28</f>
        <v>0</v>
      </c>
    </row>
    <row r="122" spans="1:41" outlineLevel="2">
      <c r="A122" s="586" t="s">
        <v>683</v>
      </c>
      <c r="B122" s="584">
        <f>assumptions!F28</f>
        <v>0</v>
      </c>
    </row>
    <row r="123" spans="1:41" outlineLevel="2">
      <c r="A123" s="586" t="s">
        <v>684</v>
      </c>
      <c r="B123" s="584">
        <f>IF(B119=0,0,PMT(B120/12,B121*12,-B119))</f>
        <v>0</v>
      </c>
    </row>
    <row r="124" spans="1:41" outlineLevel="2">
      <c r="A124" s="586" t="s">
        <v>685</v>
      </c>
      <c r="B124" s="584">
        <f>B123*12</f>
        <v>0</v>
      </c>
    </row>
    <row r="125" spans="1:41" outlineLevel="2"/>
    <row r="126" spans="1:41" outlineLevel="2">
      <c r="A126" s="588" t="s">
        <v>686</v>
      </c>
      <c r="B126" s="589">
        <v>1</v>
      </c>
      <c r="C126" s="589">
        <f t="shared" ref="C126" si="422">B126+1</f>
        <v>2</v>
      </c>
      <c r="D126" s="589">
        <f t="shared" ref="D126" si="423">C126+1</f>
        <v>3</v>
      </c>
      <c r="E126" s="589">
        <f t="shared" ref="E126" si="424">D126+1</f>
        <v>4</v>
      </c>
      <c r="F126" s="589">
        <f t="shared" ref="F126" si="425">E126+1</f>
        <v>5</v>
      </c>
      <c r="G126" s="589">
        <f t="shared" ref="G126" si="426">F126+1</f>
        <v>6</v>
      </c>
      <c r="H126" s="589">
        <f t="shared" ref="H126" si="427">G126+1</f>
        <v>7</v>
      </c>
      <c r="I126" s="589">
        <f t="shared" ref="I126" si="428">H126+1</f>
        <v>8</v>
      </c>
      <c r="J126" s="589">
        <f t="shared" ref="J126" si="429">I126+1</f>
        <v>9</v>
      </c>
      <c r="K126" s="589">
        <f t="shared" ref="K126" si="430">J126+1</f>
        <v>10</v>
      </c>
      <c r="L126" s="589">
        <f t="shared" ref="L126" si="431">K126+1</f>
        <v>11</v>
      </c>
      <c r="M126" s="589">
        <f t="shared" ref="M126" si="432">L126+1</f>
        <v>12</v>
      </c>
      <c r="N126" s="589">
        <f t="shared" ref="N126" si="433">M126+1</f>
        <v>13</v>
      </c>
      <c r="O126" s="589">
        <f t="shared" ref="O126" si="434">N126+1</f>
        <v>14</v>
      </c>
      <c r="P126" s="589">
        <f t="shared" ref="P126" si="435">O126+1</f>
        <v>15</v>
      </c>
      <c r="Q126" s="589">
        <f t="shared" ref="Q126" si="436">P126+1</f>
        <v>16</v>
      </c>
      <c r="R126" s="589">
        <f t="shared" ref="R126" si="437">Q126+1</f>
        <v>17</v>
      </c>
      <c r="S126" s="589">
        <f t="shared" ref="S126" si="438">R126+1</f>
        <v>18</v>
      </c>
      <c r="T126" s="589">
        <f t="shared" ref="T126" si="439">S126+1</f>
        <v>19</v>
      </c>
      <c r="U126" s="589">
        <f t="shared" ref="U126" si="440">T126+1</f>
        <v>20</v>
      </c>
      <c r="V126" s="589">
        <f t="shared" ref="V126" si="441">U126+1</f>
        <v>21</v>
      </c>
      <c r="W126" s="589">
        <f t="shared" ref="W126" si="442">V126+1</f>
        <v>22</v>
      </c>
      <c r="X126" s="589">
        <f t="shared" ref="X126" si="443">W126+1</f>
        <v>23</v>
      </c>
      <c r="Y126" s="589">
        <f t="shared" ref="Y126" si="444">X126+1</f>
        <v>24</v>
      </c>
      <c r="Z126" s="589">
        <f t="shared" ref="Z126" si="445">Y126+1</f>
        <v>25</v>
      </c>
      <c r="AA126" s="589">
        <f t="shared" ref="AA126" si="446">Z126+1</f>
        <v>26</v>
      </c>
      <c r="AB126" s="589">
        <f t="shared" ref="AB126" si="447">AA126+1</f>
        <v>27</v>
      </c>
      <c r="AC126" s="589">
        <f t="shared" ref="AC126" si="448">AB126+1</f>
        <v>28</v>
      </c>
      <c r="AD126" s="589">
        <f t="shared" ref="AD126" si="449">AC126+1</f>
        <v>29</v>
      </c>
      <c r="AE126" s="589">
        <f t="shared" ref="AE126" si="450">AD126+1</f>
        <v>30</v>
      </c>
      <c r="AF126" s="589">
        <f t="shared" ref="AF126" si="451">AE126+1</f>
        <v>31</v>
      </c>
      <c r="AG126" s="589">
        <f t="shared" ref="AG126" si="452">AF126+1</f>
        <v>32</v>
      </c>
      <c r="AH126" s="589">
        <f t="shared" ref="AH126" si="453">AG126+1</f>
        <v>33</v>
      </c>
      <c r="AI126" s="589">
        <f t="shared" ref="AI126" si="454">AH126+1</f>
        <v>34</v>
      </c>
      <c r="AJ126" s="589">
        <f t="shared" ref="AJ126" si="455">AI126+1</f>
        <v>35</v>
      </c>
      <c r="AK126" s="589">
        <f t="shared" ref="AK126" si="456">AJ126+1</f>
        <v>36</v>
      </c>
      <c r="AL126" s="589">
        <f t="shared" ref="AL126" si="457">AK126+1</f>
        <v>37</v>
      </c>
      <c r="AM126" s="589">
        <f t="shared" ref="AM126" si="458">AL126+1</f>
        <v>38</v>
      </c>
      <c r="AN126" s="589">
        <f t="shared" ref="AN126" si="459">AM126+1</f>
        <v>39</v>
      </c>
      <c r="AO126" s="589">
        <f t="shared" ref="AO126" si="460">AN126+1</f>
        <v>40</v>
      </c>
    </row>
    <row r="127" spans="1:41" outlineLevel="2">
      <c r="A127" s="590" t="s">
        <v>687</v>
      </c>
      <c r="B127" s="584">
        <f>B119</f>
        <v>0</v>
      </c>
      <c r="C127" s="584">
        <f>B128</f>
        <v>0</v>
      </c>
      <c r="D127" s="584">
        <f>C128</f>
        <v>0</v>
      </c>
      <c r="E127" s="584">
        <f>D128</f>
        <v>0</v>
      </c>
      <c r="F127" s="584">
        <f t="shared" ref="F127" si="461">E128</f>
        <v>0</v>
      </c>
      <c r="G127" s="584">
        <f t="shared" ref="G127" si="462">F128</f>
        <v>0</v>
      </c>
      <c r="H127" s="584">
        <f t="shared" ref="H127" si="463">G128</f>
        <v>0</v>
      </c>
      <c r="I127" s="584">
        <f t="shared" ref="I127" si="464">H128</f>
        <v>0</v>
      </c>
      <c r="J127" s="584">
        <f t="shared" ref="J127" si="465">I128</f>
        <v>0</v>
      </c>
      <c r="K127" s="584">
        <f t="shared" ref="K127" si="466">J128</f>
        <v>0</v>
      </c>
      <c r="L127" s="584">
        <f t="shared" ref="L127" si="467">K128</f>
        <v>0</v>
      </c>
      <c r="M127" s="584">
        <f t="shared" ref="M127" si="468">L128</f>
        <v>0</v>
      </c>
      <c r="N127" s="584">
        <f t="shared" ref="N127" si="469">M128</f>
        <v>0</v>
      </c>
      <c r="O127" s="584">
        <f t="shared" ref="O127" si="470">N128</f>
        <v>0</v>
      </c>
      <c r="P127" s="584">
        <f t="shared" ref="P127" si="471">O128</f>
        <v>0</v>
      </c>
      <c r="Q127" s="584">
        <f t="shared" ref="Q127" si="472">P128</f>
        <v>0</v>
      </c>
      <c r="R127" s="584">
        <f t="shared" ref="R127" si="473">Q128</f>
        <v>0</v>
      </c>
      <c r="S127" s="584">
        <f t="shared" ref="S127" si="474">R128</f>
        <v>0</v>
      </c>
      <c r="T127" s="584">
        <f t="shared" ref="T127" si="475">S128</f>
        <v>0</v>
      </c>
      <c r="U127" s="584">
        <f t="shared" ref="U127" si="476">T128</f>
        <v>0</v>
      </c>
      <c r="V127" s="584">
        <f t="shared" ref="V127" si="477">U128</f>
        <v>0</v>
      </c>
      <c r="W127" s="584">
        <f t="shared" ref="W127" si="478">V128</f>
        <v>0</v>
      </c>
      <c r="X127" s="584">
        <f t="shared" ref="X127" si="479">W128</f>
        <v>0</v>
      </c>
      <c r="Y127" s="584">
        <f t="shared" ref="Y127" si="480">X128</f>
        <v>0</v>
      </c>
      <c r="Z127" s="584">
        <f t="shared" ref="Z127" si="481">Y128</f>
        <v>0</v>
      </c>
      <c r="AA127" s="584">
        <f t="shared" ref="AA127" si="482">Z128</f>
        <v>0</v>
      </c>
      <c r="AB127" s="584">
        <f t="shared" ref="AB127" si="483">AA128</f>
        <v>0</v>
      </c>
      <c r="AC127" s="584">
        <f t="shared" ref="AC127" si="484">AB128</f>
        <v>0</v>
      </c>
      <c r="AD127" s="584">
        <f t="shared" ref="AD127" si="485">AC128</f>
        <v>0</v>
      </c>
      <c r="AE127" s="584">
        <f t="shared" ref="AE127" si="486">AD128</f>
        <v>0</v>
      </c>
      <c r="AF127" s="584">
        <f t="shared" ref="AF127" si="487">AE128</f>
        <v>0</v>
      </c>
      <c r="AG127" s="584">
        <f t="shared" ref="AG127" si="488">AF128</f>
        <v>0</v>
      </c>
      <c r="AH127" s="584">
        <f t="shared" ref="AH127" si="489">AG128</f>
        <v>0</v>
      </c>
      <c r="AI127" s="584">
        <f t="shared" ref="AI127" si="490">AH128</f>
        <v>0</v>
      </c>
      <c r="AJ127" s="584">
        <f t="shared" ref="AJ127" si="491">AI128</f>
        <v>0</v>
      </c>
      <c r="AK127" s="584">
        <f t="shared" ref="AK127" si="492">AJ128</f>
        <v>0</v>
      </c>
      <c r="AL127" s="584">
        <f t="shared" ref="AL127" si="493">AK128</f>
        <v>0</v>
      </c>
      <c r="AM127" s="584">
        <f t="shared" ref="AM127" si="494">AL128</f>
        <v>0</v>
      </c>
      <c r="AN127" s="584">
        <f t="shared" ref="AN127" si="495">AM128</f>
        <v>0</v>
      </c>
      <c r="AO127" s="584">
        <f t="shared" ref="AO127" si="496">AN128</f>
        <v>0</v>
      </c>
    </row>
    <row r="128" spans="1:41" outlineLevel="2">
      <c r="A128" s="590" t="s">
        <v>688</v>
      </c>
      <c r="B128" s="584">
        <f>PV($B$120/12,12*($B$121-B$126),-$B$123)</f>
        <v>0</v>
      </c>
      <c r="C128" s="584">
        <f>IF($B122&lt;=C126,0,PV($B120/12,12*($B121-C126),-$B123))</f>
        <v>0</v>
      </c>
      <c r="D128" s="584">
        <f>IF($B122&lt;=D126,0,PV($B120/12,12*($B121-D126),-$B123))</f>
        <v>0</v>
      </c>
      <c r="E128" s="584">
        <f>IF($B122&lt;=E126,0,PV($B120/12,12*($B121-E126),-$B123))</f>
        <v>0</v>
      </c>
      <c r="F128" s="584">
        <f t="shared" ref="F128:AO128" si="497">IF($B122&lt;=F126,0,PV($B120/12,12*($B121-F126),-$B123))</f>
        <v>0</v>
      </c>
      <c r="G128" s="584">
        <f t="shared" si="497"/>
        <v>0</v>
      </c>
      <c r="H128" s="584">
        <f t="shared" si="497"/>
        <v>0</v>
      </c>
      <c r="I128" s="584">
        <f t="shared" si="497"/>
        <v>0</v>
      </c>
      <c r="J128" s="584">
        <f t="shared" si="497"/>
        <v>0</v>
      </c>
      <c r="K128" s="584">
        <f>IF($B122&lt;=K126,0,PV($B120/12,12*($B121-K126),-$B123))</f>
        <v>0</v>
      </c>
      <c r="L128" s="584">
        <f t="shared" si="497"/>
        <v>0</v>
      </c>
      <c r="M128" s="584">
        <f t="shared" si="497"/>
        <v>0</v>
      </c>
      <c r="N128" s="584">
        <f t="shared" si="497"/>
        <v>0</v>
      </c>
      <c r="O128" s="584">
        <f t="shared" si="497"/>
        <v>0</v>
      </c>
      <c r="P128" s="584">
        <f t="shared" si="497"/>
        <v>0</v>
      </c>
      <c r="Q128" s="584">
        <f t="shared" si="497"/>
        <v>0</v>
      </c>
      <c r="R128" s="584">
        <f t="shared" si="497"/>
        <v>0</v>
      </c>
      <c r="S128" s="584">
        <f t="shared" si="497"/>
        <v>0</v>
      </c>
      <c r="T128" s="584">
        <f t="shared" si="497"/>
        <v>0</v>
      </c>
      <c r="U128" s="584">
        <f t="shared" si="497"/>
        <v>0</v>
      </c>
      <c r="V128" s="584">
        <f t="shared" si="497"/>
        <v>0</v>
      </c>
      <c r="W128" s="584">
        <f t="shared" si="497"/>
        <v>0</v>
      </c>
      <c r="X128" s="584">
        <f t="shared" si="497"/>
        <v>0</v>
      </c>
      <c r="Y128" s="584">
        <f t="shared" si="497"/>
        <v>0</v>
      </c>
      <c r="Z128" s="584">
        <f t="shared" si="497"/>
        <v>0</v>
      </c>
      <c r="AA128" s="584">
        <f t="shared" si="497"/>
        <v>0</v>
      </c>
      <c r="AB128" s="584">
        <f t="shared" si="497"/>
        <v>0</v>
      </c>
      <c r="AC128" s="584">
        <f t="shared" si="497"/>
        <v>0</v>
      </c>
      <c r="AD128" s="584">
        <f t="shared" si="497"/>
        <v>0</v>
      </c>
      <c r="AE128" s="584">
        <f t="shared" si="497"/>
        <v>0</v>
      </c>
      <c r="AF128" s="584">
        <f t="shared" si="497"/>
        <v>0</v>
      </c>
      <c r="AG128" s="584">
        <f t="shared" si="497"/>
        <v>0</v>
      </c>
      <c r="AH128" s="584">
        <f t="shared" si="497"/>
        <v>0</v>
      </c>
      <c r="AI128" s="584">
        <f t="shared" si="497"/>
        <v>0</v>
      </c>
      <c r="AJ128" s="584">
        <f t="shared" si="497"/>
        <v>0</v>
      </c>
      <c r="AK128" s="584">
        <f t="shared" si="497"/>
        <v>0</v>
      </c>
      <c r="AL128" s="584">
        <f t="shared" si="497"/>
        <v>0</v>
      </c>
      <c r="AM128" s="584">
        <f t="shared" si="497"/>
        <v>0</v>
      </c>
      <c r="AN128" s="584">
        <f t="shared" si="497"/>
        <v>0</v>
      </c>
      <c r="AO128" s="584">
        <f t="shared" si="497"/>
        <v>0</v>
      </c>
    </row>
    <row r="129" spans="1:41" outlineLevel="2">
      <c r="A129" s="590" t="s">
        <v>680</v>
      </c>
      <c r="B129" s="584">
        <f>B127-B128</f>
        <v>0</v>
      </c>
      <c r="C129" s="584">
        <f>IF($B122&lt;=C126,C127,C127-PV($B120/12,12*($B121-C126),-$B123))</f>
        <v>0</v>
      </c>
      <c r="D129" s="584">
        <f>IF($B122&lt;=D126,D127,D127-PV($B120/12,12*($B121-D126),-$B123))</f>
        <v>0</v>
      </c>
      <c r="E129" s="584">
        <f>IF($B122&lt;=E126,E127,E127-PV($B120/12,12*($B121-E126),-$B123))</f>
        <v>0</v>
      </c>
      <c r="F129" s="584">
        <f t="shared" ref="F129:K129" si="498">IF($B122&lt;=F126,F127,F127-PV($B120/12,12*($B121-F126),-$B123))</f>
        <v>0</v>
      </c>
      <c r="G129" s="584">
        <f t="shared" si="498"/>
        <v>0</v>
      </c>
      <c r="H129" s="584">
        <f t="shared" si="498"/>
        <v>0</v>
      </c>
      <c r="I129" s="584">
        <f t="shared" si="498"/>
        <v>0</v>
      </c>
      <c r="J129" s="584">
        <f t="shared" si="498"/>
        <v>0</v>
      </c>
      <c r="K129" s="584">
        <f t="shared" si="498"/>
        <v>0</v>
      </c>
      <c r="L129" s="584">
        <f>IF($B122&lt;=L126,L127,L127-PV($B120/12,12*($B121-L126),-$B123))</f>
        <v>0</v>
      </c>
      <c r="M129" s="584">
        <f t="shared" ref="M129:AO129" si="499">IF($B122&lt;=M126,M127,M127-PV($B120/12,12*($B121-M126),-$B123))</f>
        <v>0</v>
      </c>
      <c r="N129" s="584">
        <f t="shared" si="499"/>
        <v>0</v>
      </c>
      <c r="O129" s="584">
        <f t="shared" si="499"/>
        <v>0</v>
      </c>
      <c r="P129" s="584">
        <f t="shared" si="499"/>
        <v>0</v>
      </c>
      <c r="Q129" s="584">
        <f t="shared" si="499"/>
        <v>0</v>
      </c>
      <c r="R129" s="584">
        <f t="shared" si="499"/>
        <v>0</v>
      </c>
      <c r="S129" s="584">
        <f t="shared" si="499"/>
        <v>0</v>
      </c>
      <c r="T129" s="584">
        <f t="shared" si="499"/>
        <v>0</v>
      </c>
      <c r="U129" s="584">
        <f t="shared" si="499"/>
        <v>0</v>
      </c>
      <c r="V129" s="584">
        <f t="shared" si="499"/>
        <v>0</v>
      </c>
      <c r="W129" s="584">
        <f t="shared" si="499"/>
        <v>0</v>
      </c>
      <c r="X129" s="584">
        <f t="shared" si="499"/>
        <v>0</v>
      </c>
      <c r="Y129" s="584">
        <f t="shared" si="499"/>
        <v>0</v>
      </c>
      <c r="Z129" s="584">
        <f t="shared" si="499"/>
        <v>0</v>
      </c>
      <c r="AA129" s="584">
        <f t="shared" si="499"/>
        <v>0</v>
      </c>
      <c r="AB129" s="584">
        <f t="shared" si="499"/>
        <v>0</v>
      </c>
      <c r="AC129" s="584">
        <f t="shared" si="499"/>
        <v>0</v>
      </c>
      <c r="AD129" s="584">
        <f t="shared" si="499"/>
        <v>0</v>
      </c>
      <c r="AE129" s="584">
        <f t="shared" si="499"/>
        <v>0</v>
      </c>
      <c r="AF129" s="584">
        <f t="shared" si="499"/>
        <v>0</v>
      </c>
      <c r="AG129" s="584">
        <f t="shared" si="499"/>
        <v>0</v>
      </c>
      <c r="AH129" s="584">
        <f t="shared" si="499"/>
        <v>0</v>
      </c>
      <c r="AI129" s="584">
        <f t="shared" si="499"/>
        <v>0</v>
      </c>
      <c r="AJ129" s="584">
        <f t="shared" si="499"/>
        <v>0</v>
      </c>
      <c r="AK129" s="584">
        <f t="shared" si="499"/>
        <v>0</v>
      </c>
      <c r="AL129" s="584">
        <f t="shared" si="499"/>
        <v>0</v>
      </c>
      <c r="AM129" s="584">
        <f t="shared" si="499"/>
        <v>0</v>
      </c>
      <c r="AN129" s="584">
        <f t="shared" si="499"/>
        <v>0</v>
      </c>
      <c r="AO129" s="584">
        <f t="shared" si="499"/>
        <v>0</v>
      </c>
    </row>
    <row r="130" spans="1:41" outlineLevel="2">
      <c r="A130" s="590" t="s">
        <v>681</v>
      </c>
      <c r="B130" s="584">
        <f>$B$124-B129</f>
        <v>0</v>
      </c>
      <c r="C130" s="584">
        <f>IF($B122&gt;=C126,$B124-(C127-PV($B120/12,12*($B121-C126),-$B123)),0)</f>
        <v>0</v>
      </c>
      <c r="D130" s="584">
        <f>IF($B122&gt;=D126,$B124-(D127-PV($B120/12,12*($B121-D126),-$B123)),0)</f>
        <v>0</v>
      </c>
      <c r="E130" s="584">
        <f t="shared" ref="E130" si="500">IF($B122&gt;=E126,$B124-(E127-PV($B120/12,12*($B121-E126),-$B123)),0)</f>
        <v>0</v>
      </c>
      <c r="F130" s="584">
        <f>IF($B122&gt;=F126,$B124-(F127-PV($B120/12,12*($B121-F126),-$B123)),0)</f>
        <v>0</v>
      </c>
      <c r="G130" s="584">
        <f t="shared" ref="G130:K130" si="501">IF($B122&gt;=G126,$B124-(G127-PV($B120/12,12*($B121-G126),-$B123)),0)</f>
        <v>0</v>
      </c>
      <c r="H130" s="584">
        <f t="shared" si="501"/>
        <v>0</v>
      </c>
      <c r="I130" s="584">
        <f t="shared" si="501"/>
        <v>0</v>
      </c>
      <c r="J130" s="584">
        <f t="shared" si="501"/>
        <v>0</v>
      </c>
      <c r="K130" s="584">
        <f t="shared" si="501"/>
        <v>0</v>
      </c>
      <c r="L130" s="584">
        <f>IF($B122&gt;=L126,$B124-(L127-PV($B120/12,12*($B121-L126),-$B123)),0)</f>
        <v>0</v>
      </c>
      <c r="M130" s="584">
        <f t="shared" ref="M130:AM130" si="502">IF($B122&gt;=M126,$B124-(M127-PV($B120/12,12*($B121-M126),-$B123)),0)</f>
        <v>0</v>
      </c>
      <c r="N130" s="584">
        <f t="shared" si="502"/>
        <v>0</v>
      </c>
      <c r="O130" s="584">
        <f t="shared" si="502"/>
        <v>0</v>
      </c>
      <c r="P130" s="584">
        <f t="shared" si="502"/>
        <v>0</v>
      </c>
      <c r="Q130" s="584">
        <f t="shared" si="502"/>
        <v>0</v>
      </c>
      <c r="R130" s="584">
        <f t="shared" si="502"/>
        <v>0</v>
      </c>
      <c r="S130" s="584">
        <f t="shared" si="502"/>
        <v>0</v>
      </c>
      <c r="T130" s="584">
        <f t="shared" si="502"/>
        <v>0</v>
      </c>
      <c r="U130" s="584">
        <f t="shared" si="502"/>
        <v>0</v>
      </c>
      <c r="V130" s="584">
        <f t="shared" si="502"/>
        <v>0</v>
      </c>
      <c r="W130" s="584">
        <f t="shared" si="502"/>
        <v>0</v>
      </c>
      <c r="X130" s="584">
        <f t="shared" si="502"/>
        <v>0</v>
      </c>
      <c r="Y130" s="584">
        <f t="shared" si="502"/>
        <v>0</v>
      </c>
      <c r="Z130" s="584">
        <f t="shared" si="502"/>
        <v>0</v>
      </c>
      <c r="AA130" s="584">
        <f t="shared" si="502"/>
        <v>0</v>
      </c>
      <c r="AB130" s="584">
        <f t="shared" si="502"/>
        <v>0</v>
      </c>
      <c r="AC130" s="584">
        <f t="shared" si="502"/>
        <v>0</v>
      </c>
      <c r="AD130" s="584">
        <f t="shared" si="502"/>
        <v>0</v>
      </c>
      <c r="AE130" s="584">
        <f t="shared" si="502"/>
        <v>0</v>
      </c>
      <c r="AF130" s="584">
        <f t="shared" si="502"/>
        <v>0</v>
      </c>
      <c r="AG130" s="584">
        <f t="shared" si="502"/>
        <v>0</v>
      </c>
      <c r="AH130" s="584">
        <f t="shared" si="502"/>
        <v>0</v>
      </c>
      <c r="AI130" s="584">
        <f t="shared" si="502"/>
        <v>0</v>
      </c>
      <c r="AJ130" s="584">
        <f t="shared" si="502"/>
        <v>0</v>
      </c>
      <c r="AK130" s="584">
        <f t="shared" si="502"/>
        <v>0</v>
      </c>
      <c r="AL130" s="584">
        <f t="shared" si="502"/>
        <v>0</v>
      </c>
      <c r="AM130" s="584">
        <f t="shared" si="502"/>
        <v>0</v>
      </c>
      <c r="AN130" s="584">
        <f>IF($B122&gt;=AN126,$B124-(AN127-PV($B120/12,12*($B121-AN126),-$B123)),0)</f>
        <v>0</v>
      </c>
      <c r="AO130" s="584">
        <f t="shared" ref="AO130" si="503">IF($B122&gt;=AO126,$B124-(AO127-PV($B120/12,12*($B121-AO126),-$B123)),0)</f>
        <v>0</v>
      </c>
    </row>
    <row r="131" spans="1:41" outlineLevel="2">
      <c r="A131" s="590" t="s">
        <v>689</v>
      </c>
      <c r="B131" s="584">
        <f>B129+B130</f>
        <v>0</v>
      </c>
      <c r="C131" s="584">
        <f>C129+C130</f>
        <v>0</v>
      </c>
      <c r="D131" s="584">
        <f>D129+D130</f>
        <v>0</v>
      </c>
      <c r="E131" s="584">
        <f t="shared" ref="E131:K131" si="504">E129+E130</f>
        <v>0</v>
      </c>
      <c r="F131" s="584">
        <f t="shared" si="504"/>
        <v>0</v>
      </c>
      <c r="G131" s="584">
        <f t="shared" si="504"/>
        <v>0</v>
      </c>
      <c r="H131" s="584">
        <f t="shared" si="504"/>
        <v>0</v>
      </c>
      <c r="I131" s="584">
        <f t="shared" si="504"/>
        <v>0</v>
      </c>
      <c r="J131" s="584">
        <f t="shared" si="504"/>
        <v>0</v>
      </c>
      <c r="K131" s="584">
        <f t="shared" si="504"/>
        <v>0</v>
      </c>
      <c r="L131" s="584">
        <f>L129+L130</f>
        <v>0</v>
      </c>
      <c r="M131" s="584">
        <f t="shared" ref="M131:AO131" si="505">M129+M130</f>
        <v>0</v>
      </c>
      <c r="N131" s="584">
        <f t="shared" si="505"/>
        <v>0</v>
      </c>
      <c r="O131" s="584">
        <f t="shared" si="505"/>
        <v>0</v>
      </c>
      <c r="P131" s="584">
        <f t="shared" si="505"/>
        <v>0</v>
      </c>
      <c r="Q131" s="584">
        <f t="shared" si="505"/>
        <v>0</v>
      </c>
      <c r="R131" s="584">
        <f t="shared" si="505"/>
        <v>0</v>
      </c>
      <c r="S131" s="584">
        <f t="shared" si="505"/>
        <v>0</v>
      </c>
      <c r="T131" s="584">
        <f t="shared" si="505"/>
        <v>0</v>
      </c>
      <c r="U131" s="584">
        <f t="shared" si="505"/>
        <v>0</v>
      </c>
      <c r="V131" s="584">
        <f t="shared" si="505"/>
        <v>0</v>
      </c>
      <c r="W131" s="584">
        <f t="shared" si="505"/>
        <v>0</v>
      </c>
      <c r="X131" s="584">
        <f t="shared" si="505"/>
        <v>0</v>
      </c>
      <c r="Y131" s="584">
        <f t="shared" si="505"/>
        <v>0</v>
      </c>
      <c r="Z131" s="584">
        <f t="shared" si="505"/>
        <v>0</v>
      </c>
      <c r="AA131" s="584">
        <f t="shared" si="505"/>
        <v>0</v>
      </c>
      <c r="AB131" s="584">
        <f t="shared" si="505"/>
        <v>0</v>
      </c>
      <c r="AC131" s="584">
        <f t="shared" si="505"/>
        <v>0</v>
      </c>
      <c r="AD131" s="584">
        <f t="shared" si="505"/>
        <v>0</v>
      </c>
      <c r="AE131" s="584">
        <f t="shared" si="505"/>
        <v>0</v>
      </c>
      <c r="AF131" s="584">
        <f t="shared" si="505"/>
        <v>0</v>
      </c>
      <c r="AG131" s="584">
        <f t="shared" si="505"/>
        <v>0</v>
      </c>
      <c r="AH131" s="584">
        <f t="shared" si="505"/>
        <v>0</v>
      </c>
      <c r="AI131" s="584">
        <f t="shared" si="505"/>
        <v>0</v>
      </c>
      <c r="AJ131" s="584">
        <f t="shared" si="505"/>
        <v>0</v>
      </c>
      <c r="AK131" s="584">
        <f t="shared" si="505"/>
        <v>0</v>
      </c>
      <c r="AL131" s="584">
        <f t="shared" si="505"/>
        <v>0</v>
      </c>
      <c r="AM131" s="584">
        <f t="shared" si="505"/>
        <v>0</v>
      </c>
      <c r="AN131" s="584">
        <f t="shared" si="505"/>
        <v>0</v>
      </c>
      <c r="AO131" s="584">
        <f t="shared" si="505"/>
        <v>0</v>
      </c>
    </row>
    <row r="132" spans="1:41" outlineLevel="1">
      <c r="A132" s="590"/>
    </row>
    <row r="133" spans="1:41">
      <c r="A133" s="590"/>
    </row>
    <row r="134" spans="1:41">
      <c r="A134" s="592" t="str">
        <f>assumptions!A29</f>
        <v>AHP</v>
      </c>
    </row>
    <row r="136" spans="1:41">
      <c r="A136" s="586" t="s">
        <v>680</v>
      </c>
      <c r="B136" s="584">
        <f>assumptions!B29</f>
        <v>0</v>
      </c>
    </row>
    <row r="137" spans="1:41">
      <c r="A137" s="586" t="s">
        <v>681</v>
      </c>
      <c r="B137" s="587">
        <f>assumptions!D29</f>
        <v>0</v>
      </c>
    </row>
    <row r="138" spans="1:41">
      <c r="A138" s="586" t="s">
        <v>682</v>
      </c>
      <c r="B138" s="584">
        <f>assumptions!E29</f>
        <v>0</v>
      </c>
    </row>
    <row r="139" spans="1:41">
      <c r="A139" s="586" t="s">
        <v>683</v>
      </c>
      <c r="B139" s="591">
        <f>IF(assumptions!F29="deferred",0,assumptions!F29)</f>
        <v>0</v>
      </c>
    </row>
    <row r="140" spans="1:41">
      <c r="A140" s="586" t="s">
        <v>684</v>
      </c>
      <c r="B140" s="584">
        <f>B136*(B137/12)</f>
        <v>0</v>
      </c>
    </row>
    <row r="141" spans="1:41">
      <c r="A141" s="586" t="s">
        <v>685</v>
      </c>
      <c r="B141" s="584">
        <f>B140*12</f>
        <v>0</v>
      </c>
    </row>
    <row r="143" spans="1:41">
      <c r="A143" s="588" t="s">
        <v>686</v>
      </c>
      <c r="B143" s="589">
        <v>1</v>
      </c>
      <c r="C143" s="589">
        <f t="shared" ref="C143" si="506">B143+1</f>
        <v>2</v>
      </c>
      <c r="D143" s="589">
        <f t="shared" ref="D143" si="507">C143+1</f>
        <v>3</v>
      </c>
      <c r="E143" s="589">
        <f t="shared" ref="E143" si="508">D143+1</f>
        <v>4</v>
      </c>
      <c r="F143" s="589">
        <f t="shared" ref="F143" si="509">E143+1</f>
        <v>5</v>
      </c>
      <c r="G143" s="589">
        <f t="shared" ref="G143" si="510">F143+1</f>
        <v>6</v>
      </c>
      <c r="H143" s="589">
        <f t="shared" ref="H143" si="511">G143+1</f>
        <v>7</v>
      </c>
      <c r="I143" s="589">
        <f t="shared" ref="I143" si="512">H143+1</f>
        <v>8</v>
      </c>
      <c r="J143" s="589">
        <f t="shared" ref="J143" si="513">I143+1</f>
        <v>9</v>
      </c>
      <c r="K143" s="589">
        <f t="shared" ref="K143" si="514">J143+1</f>
        <v>10</v>
      </c>
      <c r="L143" s="589">
        <f t="shared" ref="L143" si="515">K143+1</f>
        <v>11</v>
      </c>
      <c r="M143" s="589">
        <f t="shared" ref="M143" si="516">L143+1</f>
        <v>12</v>
      </c>
      <c r="N143" s="589">
        <f t="shared" ref="N143" si="517">M143+1</f>
        <v>13</v>
      </c>
      <c r="O143" s="589">
        <f t="shared" ref="O143" si="518">N143+1</f>
        <v>14</v>
      </c>
      <c r="P143" s="589">
        <f t="shared" ref="P143" si="519">O143+1</f>
        <v>15</v>
      </c>
      <c r="Q143" s="589">
        <f t="shared" ref="Q143" si="520">P143+1</f>
        <v>16</v>
      </c>
      <c r="R143" s="589">
        <f t="shared" ref="R143" si="521">Q143+1</f>
        <v>17</v>
      </c>
      <c r="S143" s="589">
        <f t="shared" ref="S143" si="522">R143+1</f>
        <v>18</v>
      </c>
      <c r="T143" s="589">
        <f t="shared" ref="T143" si="523">S143+1</f>
        <v>19</v>
      </c>
      <c r="U143" s="589">
        <f t="shared" ref="U143" si="524">T143+1</f>
        <v>20</v>
      </c>
      <c r="V143" s="589">
        <f t="shared" ref="V143" si="525">U143+1</f>
        <v>21</v>
      </c>
      <c r="W143" s="589">
        <f t="shared" ref="W143" si="526">V143+1</f>
        <v>22</v>
      </c>
      <c r="X143" s="589">
        <f t="shared" ref="X143" si="527">W143+1</f>
        <v>23</v>
      </c>
      <c r="Y143" s="589">
        <f t="shared" ref="Y143" si="528">X143+1</f>
        <v>24</v>
      </c>
      <c r="Z143" s="589">
        <f t="shared" ref="Z143" si="529">Y143+1</f>
        <v>25</v>
      </c>
      <c r="AA143" s="589">
        <f t="shared" ref="AA143" si="530">Z143+1</f>
        <v>26</v>
      </c>
      <c r="AB143" s="589">
        <f t="shared" ref="AB143" si="531">AA143+1</f>
        <v>27</v>
      </c>
      <c r="AC143" s="589">
        <f t="shared" ref="AC143" si="532">AB143+1</f>
        <v>28</v>
      </c>
      <c r="AD143" s="589">
        <f t="shared" ref="AD143" si="533">AC143+1</f>
        <v>29</v>
      </c>
      <c r="AE143" s="589">
        <f t="shared" ref="AE143" si="534">AD143+1</f>
        <v>30</v>
      </c>
    </row>
    <row r="144" spans="1:41">
      <c r="A144" s="590" t="s">
        <v>687</v>
      </c>
      <c r="B144" s="584">
        <f>B136</f>
        <v>0</v>
      </c>
      <c r="C144" s="584">
        <f>B145</f>
        <v>0</v>
      </c>
      <c r="D144" s="584">
        <f t="shared" ref="D144" si="535">C145</f>
        <v>0</v>
      </c>
      <c r="E144" s="584">
        <f t="shared" ref="E144" si="536">D145</f>
        <v>0</v>
      </c>
      <c r="F144" s="584">
        <f t="shared" ref="F144" si="537">E145</f>
        <v>0</v>
      </c>
      <c r="G144" s="584">
        <f t="shared" ref="G144" si="538">F145</f>
        <v>0</v>
      </c>
      <c r="H144" s="584">
        <f t="shared" ref="H144" si="539">G145</f>
        <v>0</v>
      </c>
      <c r="I144" s="584">
        <f t="shared" ref="I144" si="540">H145</f>
        <v>0</v>
      </c>
      <c r="J144" s="584">
        <f t="shared" ref="J144" si="541">I145</f>
        <v>0</v>
      </c>
      <c r="K144" s="584">
        <f t="shared" ref="K144" si="542">J145</f>
        <v>0</v>
      </c>
      <c r="L144" s="584">
        <f t="shared" ref="L144" si="543">K145</f>
        <v>0</v>
      </c>
      <c r="M144" s="584">
        <f t="shared" ref="M144" si="544">L145</f>
        <v>0</v>
      </c>
      <c r="N144" s="584">
        <f t="shared" ref="N144" si="545">M145</f>
        <v>0</v>
      </c>
      <c r="O144" s="584">
        <f t="shared" ref="O144" si="546">N145</f>
        <v>0</v>
      </c>
      <c r="P144" s="584">
        <f t="shared" ref="P144" si="547">O145</f>
        <v>0</v>
      </c>
      <c r="Q144" s="584">
        <f t="shared" ref="Q144" si="548">P145</f>
        <v>0</v>
      </c>
      <c r="R144" s="584">
        <f t="shared" ref="R144" si="549">Q145</f>
        <v>0</v>
      </c>
      <c r="S144" s="584">
        <f t="shared" ref="S144" si="550">R145</f>
        <v>0</v>
      </c>
      <c r="T144" s="584">
        <f t="shared" ref="T144" si="551">S145</f>
        <v>0</v>
      </c>
      <c r="U144" s="584">
        <f t="shared" ref="U144" si="552">T145</f>
        <v>0</v>
      </c>
      <c r="V144" s="584">
        <f t="shared" ref="V144" si="553">U145</f>
        <v>0</v>
      </c>
      <c r="W144" s="584">
        <f t="shared" ref="W144" si="554">V145</f>
        <v>0</v>
      </c>
      <c r="X144" s="584">
        <f t="shared" ref="X144" si="555">W145</f>
        <v>0</v>
      </c>
      <c r="Y144" s="584">
        <f t="shared" ref="Y144" si="556">X145</f>
        <v>0</v>
      </c>
      <c r="Z144" s="584">
        <f t="shared" ref="Z144" si="557">Y145</f>
        <v>0</v>
      </c>
      <c r="AA144" s="584">
        <f t="shared" ref="AA144" si="558">Z145</f>
        <v>0</v>
      </c>
      <c r="AB144" s="584">
        <f t="shared" ref="AB144" si="559">AA145</f>
        <v>0</v>
      </c>
      <c r="AC144" s="584">
        <f t="shared" ref="AC144" si="560">AB145</f>
        <v>0</v>
      </c>
      <c r="AD144" s="584">
        <f t="shared" ref="AD144" si="561">AC145</f>
        <v>0</v>
      </c>
      <c r="AE144" s="584">
        <f t="shared" ref="AE144" si="562">AD145</f>
        <v>0</v>
      </c>
    </row>
    <row r="145" spans="1:31">
      <c r="A145" s="590" t="s">
        <v>688</v>
      </c>
      <c r="B145" s="584">
        <f>B144-B146</f>
        <v>0</v>
      </c>
      <c r="C145" s="584">
        <f>C144-C146</f>
        <v>0</v>
      </c>
      <c r="D145" s="584">
        <f t="shared" ref="D145:E145" si="563">D144-D146</f>
        <v>0</v>
      </c>
      <c r="E145" s="584">
        <f t="shared" si="563"/>
        <v>0</v>
      </c>
      <c r="F145" s="584">
        <f>F144-F146</f>
        <v>0</v>
      </c>
      <c r="G145" s="584">
        <f t="shared" ref="G145:AE145" si="564">G144-G146</f>
        <v>0</v>
      </c>
      <c r="H145" s="584">
        <f t="shared" si="564"/>
        <v>0</v>
      </c>
      <c r="I145" s="584">
        <f t="shared" si="564"/>
        <v>0</v>
      </c>
      <c r="J145" s="584">
        <f t="shared" si="564"/>
        <v>0</v>
      </c>
      <c r="K145" s="584">
        <f t="shared" si="564"/>
        <v>0</v>
      </c>
      <c r="L145" s="584">
        <f t="shared" si="564"/>
        <v>0</v>
      </c>
      <c r="M145" s="584">
        <f t="shared" si="564"/>
        <v>0</v>
      </c>
      <c r="N145" s="584">
        <f t="shared" si="564"/>
        <v>0</v>
      </c>
      <c r="O145" s="584">
        <f t="shared" si="564"/>
        <v>0</v>
      </c>
      <c r="P145" s="584">
        <f t="shared" si="564"/>
        <v>0</v>
      </c>
      <c r="Q145" s="584">
        <f t="shared" si="564"/>
        <v>0</v>
      </c>
      <c r="R145" s="584">
        <f t="shared" si="564"/>
        <v>0</v>
      </c>
      <c r="S145" s="584">
        <f t="shared" si="564"/>
        <v>0</v>
      </c>
      <c r="T145" s="584">
        <f t="shared" si="564"/>
        <v>0</v>
      </c>
      <c r="U145" s="584">
        <f t="shared" si="564"/>
        <v>0</v>
      </c>
      <c r="V145" s="584">
        <f t="shared" si="564"/>
        <v>0</v>
      </c>
      <c r="W145" s="584">
        <f t="shared" si="564"/>
        <v>0</v>
      </c>
      <c r="X145" s="584">
        <f t="shared" si="564"/>
        <v>0</v>
      </c>
      <c r="Y145" s="584">
        <f t="shared" si="564"/>
        <v>0</v>
      </c>
      <c r="Z145" s="584">
        <f t="shared" si="564"/>
        <v>0</v>
      </c>
      <c r="AA145" s="584">
        <f t="shared" si="564"/>
        <v>0</v>
      </c>
      <c r="AB145" s="584">
        <f t="shared" si="564"/>
        <v>0</v>
      </c>
      <c r="AC145" s="584">
        <f t="shared" si="564"/>
        <v>0</v>
      </c>
      <c r="AD145" s="584">
        <f t="shared" si="564"/>
        <v>0</v>
      </c>
      <c r="AE145" s="584">
        <f t="shared" si="564"/>
        <v>0</v>
      </c>
    </row>
    <row r="146" spans="1:31">
      <c r="A146" s="590" t="s">
        <v>680</v>
      </c>
      <c r="B146" s="584">
        <f>IF($B$139=B143,B144,0)</f>
        <v>0</v>
      </c>
      <c r="C146" s="584">
        <f>IF($B$156=C143,C144,0)</f>
        <v>0</v>
      </c>
      <c r="D146" s="584">
        <f t="shared" ref="D146" si="565">IF($B$156=D143,D144,0)</f>
        <v>0</v>
      </c>
      <c r="E146" s="584">
        <f>IF($B$156=E143,E144,0)</f>
        <v>0</v>
      </c>
      <c r="F146" s="584">
        <f>IF($B$156=F143,F144,0)</f>
        <v>0</v>
      </c>
      <c r="G146" s="584">
        <f t="shared" ref="G146:AD146" si="566">IF($B$156=G143,G144,0)</f>
        <v>0</v>
      </c>
      <c r="H146" s="584">
        <f t="shared" si="566"/>
        <v>0</v>
      </c>
      <c r="I146" s="584">
        <f t="shared" si="566"/>
        <v>0</v>
      </c>
      <c r="J146" s="584">
        <f t="shared" si="566"/>
        <v>0</v>
      </c>
      <c r="K146" s="584">
        <f t="shared" si="566"/>
        <v>0</v>
      </c>
      <c r="L146" s="584">
        <f t="shared" si="566"/>
        <v>0</v>
      </c>
      <c r="M146" s="584">
        <f t="shared" si="566"/>
        <v>0</v>
      </c>
      <c r="N146" s="584">
        <f t="shared" si="566"/>
        <v>0</v>
      </c>
      <c r="O146" s="584">
        <f t="shared" si="566"/>
        <v>0</v>
      </c>
      <c r="P146" s="584">
        <f t="shared" si="566"/>
        <v>0</v>
      </c>
      <c r="Q146" s="584">
        <f t="shared" si="566"/>
        <v>0</v>
      </c>
      <c r="R146" s="584">
        <f t="shared" si="566"/>
        <v>0</v>
      </c>
      <c r="S146" s="584">
        <f t="shared" si="566"/>
        <v>0</v>
      </c>
      <c r="T146" s="584">
        <f t="shared" si="566"/>
        <v>0</v>
      </c>
      <c r="U146" s="584">
        <f t="shared" si="566"/>
        <v>0</v>
      </c>
      <c r="V146" s="584">
        <f t="shared" si="566"/>
        <v>0</v>
      </c>
      <c r="W146" s="584">
        <f t="shared" si="566"/>
        <v>0</v>
      </c>
      <c r="X146" s="584">
        <f t="shared" si="566"/>
        <v>0</v>
      </c>
      <c r="Y146" s="584">
        <f t="shared" si="566"/>
        <v>0</v>
      </c>
      <c r="Z146" s="584">
        <f t="shared" si="566"/>
        <v>0</v>
      </c>
      <c r="AA146" s="584">
        <f t="shared" si="566"/>
        <v>0</v>
      </c>
      <c r="AB146" s="584">
        <f t="shared" si="566"/>
        <v>0</v>
      </c>
      <c r="AC146" s="584">
        <f t="shared" si="566"/>
        <v>0</v>
      </c>
      <c r="AD146" s="584">
        <f t="shared" si="566"/>
        <v>0</v>
      </c>
      <c r="AE146" s="584">
        <f>IF($B$156=AE143,AE144,0)</f>
        <v>0</v>
      </c>
    </row>
    <row r="147" spans="1:31">
      <c r="A147" s="590" t="s">
        <v>681</v>
      </c>
      <c r="B147" s="584">
        <f>+B144*$B$137</f>
        <v>0</v>
      </c>
      <c r="C147" s="584">
        <f>+C144*$B$154</f>
        <v>0</v>
      </c>
      <c r="D147" s="584">
        <f>+D144*$B$154</f>
        <v>0</v>
      </c>
      <c r="E147" s="584">
        <f t="shared" ref="E147" si="567">+E144*$B$154</f>
        <v>0</v>
      </c>
      <c r="F147" s="584">
        <f>+F144*$B$154</f>
        <v>0</v>
      </c>
      <c r="G147" s="584">
        <f t="shared" ref="G147:M147" si="568">+G144*$B$154</f>
        <v>0</v>
      </c>
      <c r="H147" s="584">
        <f t="shared" si="568"/>
        <v>0</v>
      </c>
      <c r="I147" s="584">
        <f t="shared" si="568"/>
        <v>0</v>
      </c>
      <c r="J147" s="584">
        <f t="shared" si="568"/>
        <v>0</v>
      </c>
      <c r="K147" s="584">
        <f t="shared" si="568"/>
        <v>0</v>
      </c>
      <c r="L147" s="584">
        <f t="shared" si="568"/>
        <v>0</v>
      </c>
      <c r="M147" s="584">
        <f t="shared" si="568"/>
        <v>0</v>
      </c>
      <c r="N147" s="584">
        <f>+N144*$B$154</f>
        <v>0</v>
      </c>
      <c r="O147" s="584">
        <f t="shared" ref="O147:Y147" si="569">+O144*$B$154</f>
        <v>0</v>
      </c>
      <c r="P147" s="584">
        <f t="shared" si="569"/>
        <v>0</v>
      </c>
      <c r="Q147" s="584">
        <f t="shared" si="569"/>
        <v>0</v>
      </c>
      <c r="R147" s="584">
        <f t="shared" si="569"/>
        <v>0</v>
      </c>
      <c r="S147" s="584">
        <f t="shared" si="569"/>
        <v>0</v>
      </c>
      <c r="T147" s="584">
        <f t="shared" si="569"/>
        <v>0</v>
      </c>
      <c r="U147" s="584">
        <f t="shared" si="569"/>
        <v>0</v>
      </c>
      <c r="V147" s="584">
        <f t="shared" si="569"/>
        <v>0</v>
      </c>
      <c r="W147" s="584">
        <f t="shared" si="569"/>
        <v>0</v>
      </c>
      <c r="X147" s="584">
        <f t="shared" si="569"/>
        <v>0</v>
      </c>
      <c r="Y147" s="584">
        <f t="shared" si="569"/>
        <v>0</v>
      </c>
      <c r="Z147" s="584">
        <f>+Z144*$B$154</f>
        <v>0</v>
      </c>
      <c r="AA147" s="584">
        <f t="shared" ref="AA147:AE147" si="570">+AA144*$B$154</f>
        <v>0</v>
      </c>
      <c r="AB147" s="584">
        <f t="shared" si="570"/>
        <v>0</v>
      </c>
      <c r="AC147" s="584">
        <f t="shared" si="570"/>
        <v>0</v>
      </c>
      <c r="AD147" s="584">
        <f t="shared" si="570"/>
        <v>0</v>
      </c>
      <c r="AE147" s="584">
        <f t="shared" si="570"/>
        <v>0</v>
      </c>
    </row>
    <row r="148" spans="1:31">
      <c r="A148" s="590" t="s">
        <v>689</v>
      </c>
      <c r="B148" s="584">
        <f>B147+B146</f>
        <v>0</v>
      </c>
      <c r="C148" s="584">
        <f>C147+C146</f>
        <v>0</v>
      </c>
      <c r="D148" s="584">
        <f t="shared" ref="D148:AE148" si="571">D147+D146</f>
        <v>0</v>
      </c>
      <c r="E148" s="584">
        <f t="shared" si="571"/>
        <v>0</v>
      </c>
      <c r="F148" s="584">
        <f t="shared" si="571"/>
        <v>0</v>
      </c>
      <c r="G148" s="584">
        <f t="shared" si="571"/>
        <v>0</v>
      </c>
      <c r="H148" s="584">
        <f t="shared" si="571"/>
        <v>0</v>
      </c>
      <c r="I148" s="584">
        <f t="shared" si="571"/>
        <v>0</v>
      </c>
      <c r="J148" s="584">
        <f t="shared" si="571"/>
        <v>0</v>
      </c>
      <c r="K148" s="584">
        <f t="shared" si="571"/>
        <v>0</v>
      </c>
      <c r="L148" s="584">
        <f t="shared" si="571"/>
        <v>0</v>
      </c>
      <c r="M148" s="584">
        <f t="shared" si="571"/>
        <v>0</v>
      </c>
      <c r="N148" s="584">
        <f t="shared" si="571"/>
        <v>0</v>
      </c>
      <c r="O148" s="584">
        <f t="shared" si="571"/>
        <v>0</v>
      </c>
      <c r="P148" s="584">
        <f t="shared" si="571"/>
        <v>0</v>
      </c>
      <c r="Q148" s="584">
        <f t="shared" si="571"/>
        <v>0</v>
      </c>
      <c r="R148" s="584">
        <f t="shared" si="571"/>
        <v>0</v>
      </c>
      <c r="S148" s="584">
        <f t="shared" si="571"/>
        <v>0</v>
      </c>
      <c r="T148" s="584">
        <f t="shared" si="571"/>
        <v>0</v>
      </c>
      <c r="U148" s="584">
        <f t="shared" si="571"/>
        <v>0</v>
      </c>
      <c r="V148" s="584">
        <f t="shared" si="571"/>
        <v>0</v>
      </c>
      <c r="W148" s="584">
        <f t="shared" si="571"/>
        <v>0</v>
      </c>
      <c r="X148" s="584">
        <f t="shared" si="571"/>
        <v>0</v>
      </c>
      <c r="Y148" s="584">
        <f t="shared" si="571"/>
        <v>0</v>
      </c>
      <c r="Z148" s="584">
        <f t="shared" si="571"/>
        <v>0</v>
      </c>
      <c r="AA148" s="584">
        <f t="shared" si="571"/>
        <v>0</v>
      </c>
      <c r="AB148" s="584">
        <f t="shared" si="571"/>
        <v>0</v>
      </c>
      <c r="AC148" s="584">
        <f t="shared" si="571"/>
        <v>0</v>
      </c>
      <c r="AD148" s="584">
        <f t="shared" si="571"/>
        <v>0</v>
      </c>
      <c r="AE148" s="584">
        <f t="shared" si="571"/>
        <v>0</v>
      </c>
    </row>
    <row r="149" spans="1:31">
      <c r="A149" s="590"/>
    </row>
    <row r="150" spans="1:31">
      <c r="A150" s="593"/>
      <c r="B150" s="593"/>
    </row>
    <row r="151" spans="1:31">
      <c r="A151" s="592" t="str">
        <f>assumptions!A30</f>
        <v>HOME</v>
      </c>
    </row>
    <row r="153" spans="1:31">
      <c r="A153" s="586" t="s">
        <v>680</v>
      </c>
      <c r="B153" s="584">
        <f>assumptions!B30</f>
        <v>0</v>
      </c>
    </row>
    <row r="154" spans="1:31">
      <c r="A154" s="586" t="s">
        <v>681</v>
      </c>
      <c r="B154" s="587">
        <f>assumptions!D30</f>
        <v>0</v>
      </c>
    </row>
    <row r="155" spans="1:31">
      <c r="A155" s="586" t="s">
        <v>682</v>
      </c>
      <c r="B155" s="584">
        <f>assumptions!E30</f>
        <v>0</v>
      </c>
    </row>
    <row r="156" spans="1:31">
      <c r="A156" s="586" t="s">
        <v>683</v>
      </c>
      <c r="B156" s="591">
        <f>IF(assumptions!F30="deferred",0,assumptions!F30)</f>
        <v>0</v>
      </c>
    </row>
    <row r="157" spans="1:31">
      <c r="A157" s="586" t="s">
        <v>684</v>
      </c>
      <c r="B157" s="584">
        <f>B153*(B154/12)</f>
        <v>0</v>
      </c>
    </row>
    <row r="158" spans="1:31">
      <c r="A158" s="586" t="s">
        <v>685</v>
      </c>
      <c r="B158" s="584">
        <f>B157*12</f>
        <v>0</v>
      </c>
    </row>
    <row r="160" spans="1:31">
      <c r="A160" s="588" t="s">
        <v>686</v>
      </c>
      <c r="B160" s="589">
        <v>1</v>
      </c>
      <c r="C160" s="589">
        <f t="shared" ref="C160:R160" si="572">B160+1</f>
        <v>2</v>
      </c>
      <c r="D160" s="589">
        <f t="shared" si="572"/>
        <v>3</v>
      </c>
      <c r="E160" s="589">
        <f t="shared" si="572"/>
        <v>4</v>
      </c>
      <c r="F160" s="589">
        <f t="shared" si="572"/>
        <v>5</v>
      </c>
      <c r="G160" s="589">
        <f t="shared" si="572"/>
        <v>6</v>
      </c>
      <c r="H160" s="589">
        <f t="shared" si="572"/>
        <v>7</v>
      </c>
      <c r="I160" s="589">
        <f t="shared" si="572"/>
        <v>8</v>
      </c>
      <c r="J160" s="589">
        <f t="shared" si="572"/>
        <v>9</v>
      </c>
      <c r="K160" s="589">
        <f t="shared" si="572"/>
        <v>10</v>
      </c>
      <c r="L160" s="589">
        <f t="shared" si="572"/>
        <v>11</v>
      </c>
      <c r="M160" s="589">
        <f t="shared" si="572"/>
        <v>12</v>
      </c>
      <c r="N160" s="589">
        <f t="shared" si="572"/>
        <v>13</v>
      </c>
      <c r="O160" s="589">
        <f t="shared" si="572"/>
        <v>14</v>
      </c>
      <c r="P160" s="589">
        <f t="shared" si="572"/>
        <v>15</v>
      </c>
      <c r="Q160" s="589">
        <f t="shared" si="572"/>
        <v>16</v>
      </c>
      <c r="R160" s="589">
        <f t="shared" si="572"/>
        <v>17</v>
      </c>
      <c r="S160" s="589">
        <f t="shared" ref="S160:AE160" si="573">R160+1</f>
        <v>18</v>
      </c>
      <c r="T160" s="589">
        <f t="shared" si="573"/>
        <v>19</v>
      </c>
      <c r="U160" s="589">
        <f t="shared" si="573"/>
        <v>20</v>
      </c>
      <c r="V160" s="589">
        <f t="shared" si="573"/>
        <v>21</v>
      </c>
      <c r="W160" s="589">
        <f t="shared" si="573"/>
        <v>22</v>
      </c>
      <c r="X160" s="589">
        <f t="shared" si="573"/>
        <v>23</v>
      </c>
      <c r="Y160" s="589">
        <f t="shared" si="573"/>
        <v>24</v>
      </c>
      <c r="Z160" s="589">
        <f t="shared" si="573"/>
        <v>25</v>
      </c>
      <c r="AA160" s="589">
        <f t="shared" si="573"/>
        <v>26</v>
      </c>
      <c r="AB160" s="589">
        <f t="shared" si="573"/>
        <v>27</v>
      </c>
      <c r="AC160" s="589">
        <f t="shared" si="573"/>
        <v>28</v>
      </c>
      <c r="AD160" s="589">
        <f t="shared" si="573"/>
        <v>29</v>
      </c>
      <c r="AE160" s="589">
        <f t="shared" si="573"/>
        <v>30</v>
      </c>
    </row>
    <row r="161" spans="1:31">
      <c r="A161" s="590" t="s">
        <v>687</v>
      </c>
      <c r="B161" s="584">
        <f>B153</f>
        <v>0</v>
      </c>
      <c r="C161" s="584">
        <f>B162</f>
        <v>0</v>
      </c>
      <c r="D161" s="584">
        <f t="shared" ref="D161:AE161" si="574">C162</f>
        <v>0</v>
      </c>
      <c r="E161" s="584">
        <f t="shared" si="574"/>
        <v>0</v>
      </c>
      <c r="F161" s="584">
        <f t="shared" si="574"/>
        <v>0</v>
      </c>
      <c r="G161" s="584">
        <f t="shared" si="574"/>
        <v>0</v>
      </c>
      <c r="H161" s="584">
        <f t="shared" si="574"/>
        <v>0</v>
      </c>
      <c r="I161" s="584">
        <f t="shared" si="574"/>
        <v>0</v>
      </c>
      <c r="J161" s="584">
        <f t="shared" si="574"/>
        <v>0</v>
      </c>
      <c r="K161" s="584">
        <f t="shared" si="574"/>
        <v>0</v>
      </c>
      <c r="L161" s="584">
        <f t="shared" si="574"/>
        <v>0</v>
      </c>
      <c r="M161" s="584">
        <f t="shared" si="574"/>
        <v>0</v>
      </c>
      <c r="N161" s="584">
        <f t="shared" si="574"/>
        <v>0</v>
      </c>
      <c r="O161" s="584">
        <f t="shared" si="574"/>
        <v>0</v>
      </c>
      <c r="P161" s="584">
        <f t="shared" si="574"/>
        <v>0</v>
      </c>
      <c r="Q161" s="584">
        <f t="shared" si="574"/>
        <v>0</v>
      </c>
      <c r="R161" s="584">
        <f t="shared" si="574"/>
        <v>0</v>
      </c>
      <c r="S161" s="584">
        <f t="shared" si="574"/>
        <v>0</v>
      </c>
      <c r="T161" s="584">
        <f t="shared" si="574"/>
        <v>0</v>
      </c>
      <c r="U161" s="584">
        <f t="shared" si="574"/>
        <v>0</v>
      </c>
      <c r="V161" s="584">
        <f t="shared" si="574"/>
        <v>0</v>
      </c>
      <c r="W161" s="584">
        <f t="shared" si="574"/>
        <v>0</v>
      </c>
      <c r="X161" s="584">
        <f t="shared" si="574"/>
        <v>0</v>
      </c>
      <c r="Y161" s="584">
        <f t="shared" si="574"/>
        <v>0</v>
      </c>
      <c r="Z161" s="584">
        <f t="shared" si="574"/>
        <v>0</v>
      </c>
      <c r="AA161" s="584">
        <f t="shared" si="574"/>
        <v>0</v>
      </c>
      <c r="AB161" s="584">
        <f t="shared" si="574"/>
        <v>0</v>
      </c>
      <c r="AC161" s="584">
        <f t="shared" si="574"/>
        <v>0</v>
      </c>
      <c r="AD161" s="584">
        <f t="shared" si="574"/>
        <v>0</v>
      </c>
      <c r="AE161" s="584">
        <f t="shared" si="574"/>
        <v>0</v>
      </c>
    </row>
    <row r="162" spans="1:31">
      <c r="A162" s="590" t="s">
        <v>688</v>
      </c>
      <c r="B162" s="584">
        <f>B161-B163</f>
        <v>0</v>
      </c>
      <c r="C162" s="584">
        <f>C161-C163</f>
        <v>0</v>
      </c>
      <c r="D162" s="584">
        <f t="shared" ref="D162:Q162" si="575">D161-D163</f>
        <v>0</v>
      </c>
      <c r="E162" s="584">
        <f t="shared" si="575"/>
        <v>0</v>
      </c>
      <c r="F162" s="584">
        <f>F161-F163</f>
        <v>0</v>
      </c>
      <c r="G162" s="584">
        <f t="shared" si="575"/>
        <v>0</v>
      </c>
      <c r="H162" s="584">
        <f t="shared" si="575"/>
        <v>0</v>
      </c>
      <c r="I162" s="584">
        <f t="shared" si="575"/>
        <v>0</v>
      </c>
      <c r="J162" s="584">
        <f t="shared" si="575"/>
        <v>0</v>
      </c>
      <c r="K162" s="584">
        <f t="shared" si="575"/>
        <v>0</v>
      </c>
      <c r="L162" s="584">
        <f t="shared" si="575"/>
        <v>0</v>
      </c>
      <c r="M162" s="584">
        <f t="shared" si="575"/>
        <v>0</v>
      </c>
      <c r="N162" s="584">
        <f t="shared" si="575"/>
        <v>0</v>
      </c>
      <c r="O162" s="584">
        <f t="shared" si="575"/>
        <v>0</v>
      </c>
      <c r="P162" s="584">
        <f t="shared" si="575"/>
        <v>0</v>
      </c>
      <c r="Q162" s="584">
        <f t="shared" si="575"/>
        <v>0</v>
      </c>
      <c r="R162" s="584">
        <f t="shared" ref="R162:AE162" si="576">R161-R163</f>
        <v>0</v>
      </c>
      <c r="S162" s="584">
        <f t="shared" si="576"/>
        <v>0</v>
      </c>
      <c r="T162" s="584">
        <f t="shared" si="576"/>
        <v>0</v>
      </c>
      <c r="U162" s="584">
        <f t="shared" si="576"/>
        <v>0</v>
      </c>
      <c r="V162" s="584">
        <f t="shared" si="576"/>
        <v>0</v>
      </c>
      <c r="W162" s="584">
        <f t="shared" si="576"/>
        <v>0</v>
      </c>
      <c r="X162" s="584">
        <f t="shared" si="576"/>
        <v>0</v>
      </c>
      <c r="Y162" s="584">
        <f t="shared" si="576"/>
        <v>0</v>
      </c>
      <c r="Z162" s="584">
        <f t="shared" si="576"/>
        <v>0</v>
      </c>
      <c r="AA162" s="584">
        <f t="shared" si="576"/>
        <v>0</v>
      </c>
      <c r="AB162" s="584">
        <f t="shared" si="576"/>
        <v>0</v>
      </c>
      <c r="AC162" s="584">
        <f t="shared" si="576"/>
        <v>0</v>
      </c>
      <c r="AD162" s="584">
        <f t="shared" si="576"/>
        <v>0</v>
      </c>
      <c r="AE162" s="584">
        <f t="shared" si="576"/>
        <v>0</v>
      </c>
    </row>
    <row r="163" spans="1:31">
      <c r="A163" s="590" t="s">
        <v>680</v>
      </c>
      <c r="B163" s="584">
        <f>IF($B$156=B160,B161,0)</f>
        <v>0</v>
      </c>
      <c r="C163" s="584">
        <f>IF($B$156=C160,C161,0)</f>
        <v>0</v>
      </c>
      <c r="D163" s="584">
        <f t="shared" ref="D163:AD163" si="577">IF($B$156=D160,D161,0)</f>
        <v>0</v>
      </c>
      <c r="E163" s="584">
        <f>IF($B$156=E160,E161,0)</f>
        <v>0</v>
      </c>
      <c r="F163" s="584">
        <f>IF($B$156=F160,F161,0)</f>
        <v>0</v>
      </c>
      <c r="G163" s="584">
        <f t="shared" si="577"/>
        <v>0</v>
      </c>
      <c r="H163" s="584">
        <f t="shared" si="577"/>
        <v>0</v>
      </c>
      <c r="I163" s="584">
        <f t="shared" si="577"/>
        <v>0</v>
      </c>
      <c r="J163" s="584">
        <f t="shared" si="577"/>
        <v>0</v>
      </c>
      <c r="K163" s="584">
        <f t="shared" si="577"/>
        <v>0</v>
      </c>
      <c r="L163" s="584">
        <f t="shared" si="577"/>
        <v>0</v>
      </c>
      <c r="M163" s="584">
        <f t="shared" si="577"/>
        <v>0</v>
      </c>
      <c r="N163" s="584">
        <f t="shared" si="577"/>
        <v>0</v>
      </c>
      <c r="O163" s="584">
        <f t="shared" si="577"/>
        <v>0</v>
      </c>
      <c r="P163" s="584">
        <f t="shared" si="577"/>
        <v>0</v>
      </c>
      <c r="Q163" s="584">
        <f t="shared" si="577"/>
        <v>0</v>
      </c>
      <c r="R163" s="584">
        <f t="shared" si="577"/>
        <v>0</v>
      </c>
      <c r="S163" s="584">
        <f t="shared" si="577"/>
        <v>0</v>
      </c>
      <c r="T163" s="584">
        <f t="shared" si="577"/>
        <v>0</v>
      </c>
      <c r="U163" s="584">
        <f t="shared" si="577"/>
        <v>0</v>
      </c>
      <c r="V163" s="584">
        <f t="shared" si="577"/>
        <v>0</v>
      </c>
      <c r="W163" s="584">
        <f t="shared" si="577"/>
        <v>0</v>
      </c>
      <c r="X163" s="584">
        <f t="shared" si="577"/>
        <v>0</v>
      </c>
      <c r="Y163" s="584">
        <f t="shared" si="577"/>
        <v>0</v>
      </c>
      <c r="Z163" s="584">
        <f t="shared" si="577"/>
        <v>0</v>
      </c>
      <c r="AA163" s="584">
        <f t="shared" si="577"/>
        <v>0</v>
      </c>
      <c r="AB163" s="584">
        <f t="shared" si="577"/>
        <v>0</v>
      </c>
      <c r="AC163" s="584">
        <f t="shared" si="577"/>
        <v>0</v>
      </c>
      <c r="AD163" s="584">
        <f t="shared" si="577"/>
        <v>0</v>
      </c>
      <c r="AE163" s="584">
        <f>IF($B$156=AE160,AE161,0)</f>
        <v>0</v>
      </c>
    </row>
    <row r="164" spans="1:31">
      <c r="A164" s="590" t="s">
        <v>681</v>
      </c>
      <c r="B164" s="584">
        <f>+B161*$B$154</f>
        <v>0</v>
      </c>
      <c r="C164" s="584">
        <f>+C161*$B$154</f>
        <v>0</v>
      </c>
      <c r="D164" s="584">
        <f>+D161*$B$154</f>
        <v>0</v>
      </c>
      <c r="E164" s="584">
        <f t="shared" ref="E164:R164" si="578">+E161*$B$154</f>
        <v>0</v>
      </c>
      <c r="F164" s="584">
        <f>+F161*$B$154</f>
        <v>0</v>
      </c>
      <c r="G164" s="584">
        <f t="shared" si="578"/>
        <v>0</v>
      </c>
      <c r="H164" s="584">
        <f t="shared" si="578"/>
        <v>0</v>
      </c>
      <c r="I164" s="584">
        <f t="shared" si="578"/>
        <v>0</v>
      </c>
      <c r="J164" s="584">
        <f t="shared" si="578"/>
        <v>0</v>
      </c>
      <c r="K164" s="584">
        <f t="shared" si="578"/>
        <v>0</v>
      </c>
      <c r="L164" s="584">
        <f t="shared" si="578"/>
        <v>0</v>
      </c>
      <c r="M164" s="584">
        <f t="shared" si="578"/>
        <v>0</v>
      </c>
      <c r="N164" s="584">
        <f>+N161*$B$154</f>
        <v>0</v>
      </c>
      <c r="O164" s="584">
        <f t="shared" si="578"/>
        <v>0</v>
      </c>
      <c r="P164" s="584">
        <f t="shared" si="578"/>
        <v>0</v>
      </c>
      <c r="Q164" s="584">
        <f t="shared" si="578"/>
        <v>0</v>
      </c>
      <c r="R164" s="584">
        <f t="shared" si="578"/>
        <v>0</v>
      </c>
      <c r="S164" s="584">
        <f t="shared" ref="S164:AE164" si="579">+S161*$B$154</f>
        <v>0</v>
      </c>
      <c r="T164" s="584">
        <f t="shared" si="579"/>
        <v>0</v>
      </c>
      <c r="U164" s="584">
        <f t="shared" si="579"/>
        <v>0</v>
      </c>
      <c r="V164" s="584">
        <f t="shared" si="579"/>
        <v>0</v>
      </c>
      <c r="W164" s="584">
        <f t="shared" si="579"/>
        <v>0</v>
      </c>
      <c r="X164" s="584">
        <f t="shared" si="579"/>
        <v>0</v>
      </c>
      <c r="Y164" s="584">
        <f t="shared" si="579"/>
        <v>0</v>
      </c>
      <c r="Z164" s="584">
        <f>+Z161*$B$154</f>
        <v>0</v>
      </c>
      <c r="AA164" s="584">
        <f t="shared" si="579"/>
        <v>0</v>
      </c>
      <c r="AB164" s="584">
        <f t="shared" si="579"/>
        <v>0</v>
      </c>
      <c r="AC164" s="584">
        <f t="shared" si="579"/>
        <v>0</v>
      </c>
      <c r="AD164" s="584">
        <f t="shared" si="579"/>
        <v>0</v>
      </c>
      <c r="AE164" s="584">
        <f t="shared" si="579"/>
        <v>0</v>
      </c>
    </row>
    <row r="165" spans="1:31">
      <c r="A165" s="590" t="s">
        <v>689</v>
      </c>
      <c r="B165" s="584">
        <f>B164+B163</f>
        <v>0</v>
      </c>
      <c r="C165" s="584">
        <f>C164+C163</f>
        <v>0</v>
      </c>
      <c r="D165" s="584">
        <f t="shared" ref="D165:Q165" si="580">D164+D163</f>
        <v>0</v>
      </c>
      <c r="E165" s="584">
        <f t="shared" si="580"/>
        <v>0</v>
      </c>
      <c r="F165" s="584">
        <f t="shared" si="580"/>
        <v>0</v>
      </c>
      <c r="G165" s="584">
        <f t="shared" si="580"/>
        <v>0</v>
      </c>
      <c r="H165" s="584">
        <f t="shared" si="580"/>
        <v>0</v>
      </c>
      <c r="I165" s="584">
        <f t="shared" si="580"/>
        <v>0</v>
      </c>
      <c r="J165" s="584">
        <f t="shared" si="580"/>
        <v>0</v>
      </c>
      <c r="K165" s="584">
        <f t="shared" si="580"/>
        <v>0</v>
      </c>
      <c r="L165" s="584">
        <f t="shared" si="580"/>
        <v>0</v>
      </c>
      <c r="M165" s="584">
        <f t="shared" si="580"/>
        <v>0</v>
      </c>
      <c r="N165" s="584">
        <f t="shared" si="580"/>
        <v>0</v>
      </c>
      <c r="O165" s="584">
        <f t="shared" si="580"/>
        <v>0</v>
      </c>
      <c r="P165" s="584">
        <f t="shared" si="580"/>
        <v>0</v>
      </c>
      <c r="Q165" s="584">
        <f t="shared" si="580"/>
        <v>0</v>
      </c>
      <c r="R165" s="584">
        <f t="shared" ref="R165:AE165" si="581">R164+R163</f>
        <v>0</v>
      </c>
      <c r="S165" s="584">
        <f t="shared" si="581"/>
        <v>0</v>
      </c>
      <c r="T165" s="584">
        <f t="shared" si="581"/>
        <v>0</v>
      </c>
      <c r="U165" s="584">
        <f t="shared" si="581"/>
        <v>0</v>
      </c>
      <c r="V165" s="584">
        <f t="shared" si="581"/>
        <v>0</v>
      </c>
      <c r="W165" s="584">
        <f t="shared" si="581"/>
        <v>0</v>
      </c>
      <c r="X165" s="584">
        <f t="shared" si="581"/>
        <v>0</v>
      </c>
      <c r="Y165" s="584">
        <f t="shared" si="581"/>
        <v>0</v>
      </c>
      <c r="Z165" s="584">
        <f t="shared" si="581"/>
        <v>0</v>
      </c>
      <c r="AA165" s="584">
        <f t="shared" si="581"/>
        <v>0</v>
      </c>
      <c r="AB165" s="584">
        <f t="shared" si="581"/>
        <v>0</v>
      </c>
      <c r="AC165" s="584">
        <f t="shared" si="581"/>
        <v>0</v>
      </c>
      <c r="AD165" s="584">
        <f t="shared" si="581"/>
        <v>0</v>
      </c>
      <c r="AE165" s="584">
        <f t="shared" si="581"/>
        <v>0</v>
      </c>
    </row>
    <row r="166" spans="1:31">
      <c r="A166" s="590"/>
    </row>
    <row r="167" spans="1:31">
      <c r="A167" s="590"/>
    </row>
    <row r="168" spans="1:31">
      <c r="A168" s="592" t="str">
        <f>assumptions!A31</f>
        <v>NHTF</v>
      </c>
    </row>
    <row r="170" spans="1:31">
      <c r="A170" s="586" t="s">
        <v>680</v>
      </c>
      <c r="B170" s="584">
        <f>assumptions!B31</f>
        <v>0</v>
      </c>
    </row>
    <row r="171" spans="1:31">
      <c r="A171" s="586" t="s">
        <v>681</v>
      </c>
      <c r="B171" s="587">
        <f>assumptions!D31</f>
        <v>0</v>
      </c>
    </row>
    <row r="172" spans="1:31">
      <c r="A172" s="586" t="s">
        <v>682</v>
      </c>
      <c r="B172" s="584">
        <f>assumptions!E31</f>
        <v>0</v>
      </c>
    </row>
    <row r="173" spans="1:31">
      <c r="A173" s="586" t="s">
        <v>683</v>
      </c>
      <c r="B173" s="591">
        <f>IF(assumptions!F31="deferred",0,assumptions!F31)</f>
        <v>0</v>
      </c>
    </row>
    <row r="174" spans="1:31">
      <c r="A174" s="586" t="s">
        <v>684</v>
      </c>
      <c r="B174" s="584">
        <f>B170*(B171/12)</f>
        <v>0</v>
      </c>
    </row>
    <row r="175" spans="1:31">
      <c r="A175" s="586" t="s">
        <v>685</v>
      </c>
      <c r="B175" s="584">
        <f>B174*12</f>
        <v>0</v>
      </c>
    </row>
    <row r="177" spans="1:31">
      <c r="A177" s="588" t="s">
        <v>686</v>
      </c>
      <c r="B177" s="589">
        <v>1</v>
      </c>
      <c r="C177" s="589">
        <f t="shared" ref="C177:R177" si="582">B177+1</f>
        <v>2</v>
      </c>
      <c r="D177" s="589">
        <f t="shared" si="582"/>
        <v>3</v>
      </c>
      <c r="E177" s="589">
        <f t="shared" si="582"/>
        <v>4</v>
      </c>
      <c r="F177" s="589">
        <f t="shared" si="582"/>
        <v>5</v>
      </c>
      <c r="G177" s="589">
        <f t="shared" si="582"/>
        <v>6</v>
      </c>
      <c r="H177" s="589">
        <f t="shared" si="582"/>
        <v>7</v>
      </c>
      <c r="I177" s="589">
        <f t="shared" si="582"/>
        <v>8</v>
      </c>
      <c r="J177" s="589">
        <f t="shared" si="582"/>
        <v>9</v>
      </c>
      <c r="K177" s="589">
        <f t="shared" si="582"/>
        <v>10</v>
      </c>
      <c r="L177" s="589">
        <f t="shared" si="582"/>
        <v>11</v>
      </c>
      <c r="M177" s="589">
        <f t="shared" si="582"/>
        <v>12</v>
      </c>
      <c r="N177" s="589">
        <f t="shared" si="582"/>
        <v>13</v>
      </c>
      <c r="O177" s="589">
        <f t="shared" si="582"/>
        <v>14</v>
      </c>
      <c r="P177" s="589">
        <f t="shared" si="582"/>
        <v>15</v>
      </c>
      <c r="Q177" s="589">
        <f t="shared" si="582"/>
        <v>16</v>
      </c>
      <c r="R177" s="589">
        <f t="shared" si="582"/>
        <v>17</v>
      </c>
      <c r="S177" s="589">
        <f t="shared" ref="S177:AE177" si="583">R177+1</f>
        <v>18</v>
      </c>
      <c r="T177" s="589">
        <f t="shared" si="583"/>
        <v>19</v>
      </c>
      <c r="U177" s="589">
        <f t="shared" si="583"/>
        <v>20</v>
      </c>
      <c r="V177" s="589">
        <f t="shared" si="583"/>
        <v>21</v>
      </c>
      <c r="W177" s="589">
        <f t="shared" si="583"/>
        <v>22</v>
      </c>
      <c r="X177" s="589">
        <f t="shared" si="583"/>
        <v>23</v>
      </c>
      <c r="Y177" s="589">
        <f t="shared" si="583"/>
        <v>24</v>
      </c>
      <c r="Z177" s="589">
        <f t="shared" si="583"/>
        <v>25</v>
      </c>
      <c r="AA177" s="589">
        <f t="shared" si="583"/>
        <v>26</v>
      </c>
      <c r="AB177" s="589">
        <f t="shared" si="583"/>
        <v>27</v>
      </c>
      <c r="AC177" s="589">
        <f t="shared" si="583"/>
        <v>28</v>
      </c>
      <c r="AD177" s="589">
        <f t="shared" si="583"/>
        <v>29</v>
      </c>
      <c r="AE177" s="589">
        <f t="shared" si="583"/>
        <v>30</v>
      </c>
    </row>
    <row r="178" spans="1:31">
      <c r="A178" s="590" t="s">
        <v>687</v>
      </c>
      <c r="B178" s="584">
        <f>B170</f>
        <v>0</v>
      </c>
      <c r="C178" s="584">
        <f t="shared" ref="C178:AE178" si="584">B179</f>
        <v>0</v>
      </c>
      <c r="D178" s="584">
        <f t="shared" si="584"/>
        <v>0</v>
      </c>
      <c r="E178" s="584">
        <f t="shared" si="584"/>
        <v>0</v>
      </c>
      <c r="F178" s="584">
        <f t="shared" si="584"/>
        <v>0</v>
      </c>
      <c r="G178" s="584">
        <f t="shared" si="584"/>
        <v>0</v>
      </c>
      <c r="H178" s="584">
        <f t="shared" si="584"/>
        <v>0</v>
      </c>
      <c r="I178" s="584">
        <f t="shared" si="584"/>
        <v>0</v>
      </c>
      <c r="J178" s="584">
        <f t="shared" si="584"/>
        <v>0</v>
      </c>
      <c r="K178" s="584">
        <f t="shared" si="584"/>
        <v>0</v>
      </c>
      <c r="L178" s="584">
        <f t="shared" si="584"/>
        <v>0</v>
      </c>
      <c r="M178" s="584">
        <f t="shared" si="584"/>
        <v>0</v>
      </c>
      <c r="N178" s="584">
        <f t="shared" si="584"/>
        <v>0</v>
      </c>
      <c r="O178" s="584">
        <f t="shared" si="584"/>
        <v>0</v>
      </c>
      <c r="P178" s="584">
        <f t="shared" si="584"/>
        <v>0</v>
      </c>
      <c r="Q178" s="584">
        <f t="shared" si="584"/>
        <v>0</v>
      </c>
      <c r="R178" s="584">
        <f t="shared" si="584"/>
        <v>0</v>
      </c>
      <c r="S178" s="584">
        <f t="shared" si="584"/>
        <v>0</v>
      </c>
      <c r="T178" s="584">
        <f t="shared" si="584"/>
        <v>0</v>
      </c>
      <c r="U178" s="584">
        <f t="shared" si="584"/>
        <v>0</v>
      </c>
      <c r="V178" s="584">
        <f t="shared" si="584"/>
        <v>0</v>
      </c>
      <c r="W178" s="584">
        <f t="shared" si="584"/>
        <v>0</v>
      </c>
      <c r="X178" s="584">
        <f t="shared" si="584"/>
        <v>0</v>
      </c>
      <c r="Y178" s="584">
        <f t="shared" si="584"/>
        <v>0</v>
      </c>
      <c r="Z178" s="584">
        <f t="shared" si="584"/>
        <v>0</v>
      </c>
      <c r="AA178" s="584">
        <f t="shared" si="584"/>
        <v>0</v>
      </c>
      <c r="AB178" s="584">
        <f t="shared" si="584"/>
        <v>0</v>
      </c>
      <c r="AC178" s="584">
        <f t="shared" si="584"/>
        <v>0</v>
      </c>
      <c r="AD178" s="584">
        <f t="shared" si="584"/>
        <v>0</v>
      </c>
      <c r="AE178" s="584">
        <f t="shared" si="584"/>
        <v>0</v>
      </c>
    </row>
    <row r="179" spans="1:31">
      <c r="A179" s="590" t="s">
        <v>688</v>
      </c>
      <c r="B179" s="584">
        <f>B178-B180</f>
        <v>0</v>
      </c>
      <c r="C179" s="584">
        <f>C178-C180</f>
        <v>0</v>
      </c>
      <c r="D179" s="584">
        <f t="shared" ref="D179:AE179" si="585">D178-D180</f>
        <v>0</v>
      </c>
      <c r="E179" s="584">
        <f t="shared" si="585"/>
        <v>0</v>
      </c>
      <c r="F179" s="584">
        <f t="shared" si="585"/>
        <v>0</v>
      </c>
      <c r="G179" s="584">
        <f t="shared" si="585"/>
        <v>0</v>
      </c>
      <c r="H179" s="584">
        <f t="shared" si="585"/>
        <v>0</v>
      </c>
      <c r="I179" s="584">
        <f t="shared" si="585"/>
        <v>0</v>
      </c>
      <c r="J179" s="584">
        <f t="shared" si="585"/>
        <v>0</v>
      </c>
      <c r="K179" s="584">
        <f t="shared" si="585"/>
        <v>0</v>
      </c>
      <c r="L179" s="584">
        <f t="shared" si="585"/>
        <v>0</v>
      </c>
      <c r="M179" s="584">
        <f t="shared" si="585"/>
        <v>0</v>
      </c>
      <c r="N179" s="584">
        <f t="shared" si="585"/>
        <v>0</v>
      </c>
      <c r="O179" s="584">
        <f t="shared" si="585"/>
        <v>0</v>
      </c>
      <c r="P179" s="584">
        <f t="shared" si="585"/>
        <v>0</v>
      </c>
      <c r="Q179" s="584">
        <f t="shared" si="585"/>
        <v>0</v>
      </c>
      <c r="R179" s="584">
        <f t="shared" si="585"/>
        <v>0</v>
      </c>
      <c r="S179" s="584">
        <f t="shared" si="585"/>
        <v>0</v>
      </c>
      <c r="T179" s="584">
        <f t="shared" si="585"/>
        <v>0</v>
      </c>
      <c r="U179" s="584">
        <f t="shared" si="585"/>
        <v>0</v>
      </c>
      <c r="V179" s="584">
        <f t="shared" si="585"/>
        <v>0</v>
      </c>
      <c r="W179" s="584">
        <f t="shared" si="585"/>
        <v>0</v>
      </c>
      <c r="X179" s="584">
        <f t="shared" si="585"/>
        <v>0</v>
      </c>
      <c r="Y179" s="584">
        <f t="shared" si="585"/>
        <v>0</v>
      </c>
      <c r="Z179" s="584">
        <f t="shared" si="585"/>
        <v>0</v>
      </c>
      <c r="AA179" s="584">
        <f t="shared" si="585"/>
        <v>0</v>
      </c>
      <c r="AB179" s="584">
        <f t="shared" si="585"/>
        <v>0</v>
      </c>
      <c r="AC179" s="584">
        <f t="shared" si="585"/>
        <v>0</v>
      </c>
      <c r="AD179" s="584">
        <f t="shared" si="585"/>
        <v>0</v>
      </c>
      <c r="AE179" s="584">
        <f t="shared" si="585"/>
        <v>0</v>
      </c>
    </row>
    <row r="180" spans="1:31">
      <c r="A180" s="590" t="s">
        <v>680</v>
      </c>
      <c r="B180" s="584">
        <f>IF($B$173=B177,B178,0)</f>
        <v>0</v>
      </c>
      <c r="C180" s="584">
        <f>IF($B$173=C177,C178,0)</f>
        <v>0</v>
      </c>
      <c r="D180" s="584">
        <f>IF($B$173=D177,D178,0)</f>
        <v>0</v>
      </c>
      <c r="E180" s="584">
        <f>IF($B$173=E177,E178,0)</f>
        <v>0</v>
      </c>
      <c r="F180" s="584">
        <f>IF($B$173=F177,F178,0)</f>
        <v>0</v>
      </c>
      <c r="G180" s="584">
        <f t="shared" ref="G180:AE180" si="586">IF($B$173=G177,G178,0)</f>
        <v>0</v>
      </c>
      <c r="H180" s="584">
        <f t="shared" si="586"/>
        <v>0</v>
      </c>
      <c r="I180" s="584">
        <f t="shared" si="586"/>
        <v>0</v>
      </c>
      <c r="J180" s="584">
        <f t="shared" si="586"/>
        <v>0</v>
      </c>
      <c r="K180" s="584">
        <f t="shared" si="586"/>
        <v>0</v>
      </c>
      <c r="L180" s="584">
        <f t="shared" si="586"/>
        <v>0</v>
      </c>
      <c r="M180" s="584">
        <f t="shared" si="586"/>
        <v>0</v>
      </c>
      <c r="N180" s="584">
        <f t="shared" si="586"/>
        <v>0</v>
      </c>
      <c r="O180" s="584">
        <f t="shared" si="586"/>
        <v>0</v>
      </c>
      <c r="P180" s="584">
        <f t="shared" si="586"/>
        <v>0</v>
      </c>
      <c r="Q180" s="584">
        <f t="shared" si="586"/>
        <v>0</v>
      </c>
      <c r="R180" s="584">
        <f t="shared" si="586"/>
        <v>0</v>
      </c>
      <c r="S180" s="584">
        <f t="shared" si="586"/>
        <v>0</v>
      </c>
      <c r="T180" s="584">
        <f t="shared" si="586"/>
        <v>0</v>
      </c>
      <c r="U180" s="584">
        <f t="shared" si="586"/>
        <v>0</v>
      </c>
      <c r="V180" s="584">
        <f t="shared" si="586"/>
        <v>0</v>
      </c>
      <c r="W180" s="584">
        <f t="shared" si="586"/>
        <v>0</v>
      </c>
      <c r="X180" s="584">
        <f t="shared" si="586"/>
        <v>0</v>
      </c>
      <c r="Y180" s="584">
        <f t="shared" si="586"/>
        <v>0</v>
      </c>
      <c r="Z180" s="584">
        <f t="shared" si="586"/>
        <v>0</v>
      </c>
      <c r="AA180" s="584">
        <f t="shared" si="586"/>
        <v>0</v>
      </c>
      <c r="AB180" s="584">
        <f t="shared" si="586"/>
        <v>0</v>
      </c>
      <c r="AC180" s="584">
        <f t="shared" si="586"/>
        <v>0</v>
      </c>
      <c r="AD180" s="584">
        <f t="shared" si="586"/>
        <v>0</v>
      </c>
      <c r="AE180" s="584">
        <f t="shared" si="586"/>
        <v>0</v>
      </c>
    </row>
    <row r="181" spans="1:31">
      <c r="A181" s="590" t="s">
        <v>681</v>
      </c>
      <c r="B181" s="584">
        <f>B178*$B$171</f>
        <v>0</v>
      </c>
      <c r="C181" s="584">
        <f>C178*$B$171</f>
        <v>0</v>
      </c>
      <c r="D181" s="584">
        <f>D178*$B$171</f>
        <v>0</v>
      </c>
      <c r="E181" s="584">
        <f t="shared" ref="E181:R181" si="587">E178*$B$171</f>
        <v>0</v>
      </c>
      <c r="F181" s="584">
        <f>F178*$B$171</f>
        <v>0</v>
      </c>
      <c r="G181" s="584">
        <f t="shared" si="587"/>
        <v>0</v>
      </c>
      <c r="H181" s="584">
        <f t="shared" si="587"/>
        <v>0</v>
      </c>
      <c r="I181" s="584">
        <f t="shared" si="587"/>
        <v>0</v>
      </c>
      <c r="J181" s="584">
        <f t="shared" si="587"/>
        <v>0</v>
      </c>
      <c r="K181" s="584">
        <f t="shared" si="587"/>
        <v>0</v>
      </c>
      <c r="L181" s="584">
        <f t="shared" si="587"/>
        <v>0</v>
      </c>
      <c r="M181" s="584">
        <f t="shared" si="587"/>
        <v>0</v>
      </c>
      <c r="N181" s="584">
        <f t="shared" si="587"/>
        <v>0</v>
      </c>
      <c r="O181" s="584">
        <f t="shared" si="587"/>
        <v>0</v>
      </c>
      <c r="P181" s="584">
        <f t="shared" si="587"/>
        <v>0</v>
      </c>
      <c r="Q181" s="584">
        <f t="shared" si="587"/>
        <v>0</v>
      </c>
      <c r="R181" s="584">
        <f t="shared" si="587"/>
        <v>0</v>
      </c>
      <c r="S181" s="584">
        <f t="shared" ref="S181:AE181" si="588">S178*$B$171</f>
        <v>0</v>
      </c>
      <c r="T181" s="584">
        <f t="shared" si="588"/>
        <v>0</v>
      </c>
      <c r="U181" s="584">
        <f t="shared" si="588"/>
        <v>0</v>
      </c>
      <c r="V181" s="584">
        <f t="shared" si="588"/>
        <v>0</v>
      </c>
      <c r="W181" s="584">
        <f t="shared" si="588"/>
        <v>0</v>
      </c>
      <c r="X181" s="584">
        <f t="shared" si="588"/>
        <v>0</v>
      </c>
      <c r="Y181" s="584">
        <f t="shared" si="588"/>
        <v>0</v>
      </c>
      <c r="Z181" s="584">
        <f t="shared" si="588"/>
        <v>0</v>
      </c>
      <c r="AA181" s="584">
        <f t="shared" si="588"/>
        <v>0</v>
      </c>
      <c r="AB181" s="584">
        <f t="shared" si="588"/>
        <v>0</v>
      </c>
      <c r="AC181" s="584">
        <f t="shared" si="588"/>
        <v>0</v>
      </c>
      <c r="AD181" s="584">
        <f t="shared" si="588"/>
        <v>0</v>
      </c>
      <c r="AE181" s="584">
        <f t="shared" si="588"/>
        <v>0</v>
      </c>
    </row>
    <row r="182" spans="1:31">
      <c r="A182" s="590" t="s">
        <v>689</v>
      </c>
      <c r="B182" s="584">
        <f>B180+B181</f>
        <v>0</v>
      </c>
      <c r="C182" s="584">
        <f t="shared" ref="C182:R182" si="589">C180+C181</f>
        <v>0</v>
      </c>
      <c r="D182" s="584">
        <f t="shared" si="589"/>
        <v>0</v>
      </c>
      <c r="E182" s="584">
        <f t="shared" si="589"/>
        <v>0</v>
      </c>
      <c r="F182" s="584">
        <f t="shared" si="589"/>
        <v>0</v>
      </c>
      <c r="G182" s="584">
        <f t="shared" si="589"/>
        <v>0</v>
      </c>
      <c r="H182" s="584">
        <f t="shared" si="589"/>
        <v>0</v>
      </c>
      <c r="I182" s="584">
        <f t="shared" si="589"/>
        <v>0</v>
      </c>
      <c r="J182" s="584">
        <f t="shared" si="589"/>
        <v>0</v>
      </c>
      <c r="K182" s="584">
        <f t="shared" si="589"/>
        <v>0</v>
      </c>
      <c r="L182" s="584">
        <f t="shared" si="589"/>
        <v>0</v>
      </c>
      <c r="M182" s="584">
        <f t="shared" si="589"/>
        <v>0</v>
      </c>
      <c r="N182" s="584">
        <f t="shared" si="589"/>
        <v>0</v>
      </c>
      <c r="O182" s="584">
        <f t="shared" si="589"/>
        <v>0</v>
      </c>
      <c r="P182" s="584">
        <f t="shared" si="589"/>
        <v>0</v>
      </c>
      <c r="Q182" s="584">
        <f t="shared" si="589"/>
        <v>0</v>
      </c>
      <c r="R182" s="584">
        <f t="shared" si="589"/>
        <v>0</v>
      </c>
      <c r="S182" s="584">
        <f t="shared" ref="S182:AE182" si="590">S180+S181</f>
        <v>0</v>
      </c>
      <c r="T182" s="584">
        <f t="shared" si="590"/>
        <v>0</v>
      </c>
      <c r="U182" s="584">
        <f t="shared" si="590"/>
        <v>0</v>
      </c>
      <c r="V182" s="584">
        <f t="shared" si="590"/>
        <v>0</v>
      </c>
      <c r="W182" s="584">
        <f t="shared" si="590"/>
        <v>0</v>
      </c>
      <c r="X182" s="584">
        <f t="shared" si="590"/>
        <v>0</v>
      </c>
      <c r="Y182" s="584">
        <f t="shared" si="590"/>
        <v>0</v>
      </c>
      <c r="Z182" s="584">
        <f t="shared" si="590"/>
        <v>0</v>
      </c>
      <c r="AA182" s="584">
        <f t="shared" si="590"/>
        <v>0</v>
      </c>
      <c r="AB182" s="584">
        <f t="shared" si="590"/>
        <v>0</v>
      </c>
      <c r="AC182" s="584">
        <f t="shared" si="590"/>
        <v>0</v>
      </c>
      <c r="AD182" s="584">
        <f t="shared" si="590"/>
        <v>0</v>
      </c>
      <c r="AE182" s="584">
        <f t="shared" si="590"/>
        <v>0</v>
      </c>
    </row>
    <row r="183" spans="1:31">
      <c r="A183" s="590"/>
    </row>
    <row r="184" spans="1:31">
      <c r="A184" s="593"/>
      <c r="B184" s="593"/>
    </row>
    <row r="185" spans="1:31">
      <c r="A185" s="592" t="str">
        <f>assumptions!A32</f>
        <v>VCDP</v>
      </c>
    </row>
    <row r="187" spans="1:31">
      <c r="A187" s="586" t="s">
        <v>680</v>
      </c>
      <c r="B187" s="584">
        <f>assumptions!B32</f>
        <v>0</v>
      </c>
    </row>
    <row r="188" spans="1:31">
      <c r="A188" s="586" t="s">
        <v>681</v>
      </c>
      <c r="B188" s="587">
        <f>assumptions!D32</f>
        <v>0</v>
      </c>
    </row>
    <row r="189" spans="1:31">
      <c r="A189" s="586" t="s">
        <v>682</v>
      </c>
      <c r="B189" s="584">
        <f>assumptions!E32</f>
        <v>0</v>
      </c>
    </row>
    <row r="190" spans="1:31">
      <c r="A190" s="586" t="s">
        <v>683</v>
      </c>
      <c r="B190" s="591">
        <f>IF(assumptions!F32="deferred",0,assumptions!F32)</f>
        <v>0</v>
      </c>
    </row>
    <row r="191" spans="1:31">
      <c r="A191" s="586" t="s">
        <v>684</v>
      </c>
      <c r="B191" s="584">
        <f>B187*(B188/12)</f>
        <v>0</v>
      </c>
    </row>
    <row r="192" spans="1:31">
      <c r="A192" s="586" t="s">
        <v>685</v>
      </c>
      <c r="B192" s="584">
        <f>B191*12</f>
        <v>0</v>
      </c>
    </row>
    <row r="195" spans="1:31">
      <c r="A195" s="588" t="s">
        <v>686</v>
      </c>
      <c r="B195" s="589">
        <v>1</v>
      </c>
      <c r="C195" s="589">
        <f t="shared" ref="C195:AE195" si="591">B195+1</f>
        <v>2</v>
      </c>
      <c r="D195" s="589">
        <f t="shared" si="591"/>
        <v>3</v>
      </c>
      <c r="E195" s="589">
        <f t="shared" si="591"/>
        <v>4</v>
      </c>
      <c r="F195" s="589">
        <f t="shared" si="591"/>
        <v>5</v>
      </c>
      <c r="G195" s="589">
        <f t="shared" si="591"/>
        <v>6</v>
      </c>
      <c r="H195" s="589">
        <f t="shared" si="591"/>
        <v>7</v>
      </c>
      <c r="I195" s="589">
        <f t="shared" si="591"/>
        <v>8</v>
      </c>
      <c r="J195" s="589">
        <f t="shared" si="591"/>
        <v>9</v>
      </c>
      <c r="K195" s="589">
        <f t="shared" si="591"/>
        <v>10</v>
      </c>
      <c r="L195" s="589">
        <f t="shared" si="591"/>
        <v>11</v>
      </c>
      <c r="M195" s="589">
        <f t="shared" si="591"/>
        <v>12</v>
      </c>
      <c r="N195" s="589">
        <f t="shared" si="591"/>
        <v>13</v>
      </c>
      <c r="O195" s="589">
        <f t="shared" si="591"/>
        <v>14</v>
      </c>
      <c r="P195" s="589">
        <f t="shared" si="591"/>
        <v>15</v>
      </c>
      <c r="Q195" s="589">
        <f t="shared" si="591"/>
        <v>16</v>
      </c>
      <c r="R195" s="589">
        <f t="shared" si="591"/>
        <v>17</v>
      </c>
      <c r="S195" s="589">
        <f t="shared" si="591"/>
        <v>18</v>
      </c>
      <c r="T195" s="589">
        <f t="shared" si="591"/>
        <v>19</v>
      </c>
      <c r="U195" s="589">
        <f t="shared" si="591"/>
        <v>20</v>
      </c>
      <c r="V195" s="589">
        <f t="shared" si="591"/>
        <v>21</v>
      </c>
      <c r="W195" s="589">
        <f t="shared" si="591"/>
        <v>22</v>
      </c>
      <c r="X195" s="589">
        <f t="shared" si="591"/>
        <v>23</v>
      </c>
      <c r="Y195" s="589">
        <f t="shared" si="591"/>
        <v>24</v>
      </c>
      <c r="Z195" s="589">
        <f t="shared" si="591"/>
        <v>25</v>
      </c>
      <c r="AA195" s="589">
        <f t="shared" si="591"/>
        <v>26</v>
      </c>
      <c r="AB195" s="589">
        <f t="shared" si="591"/>
        <v>27</v>
      </c>
      <c r="AC195" s="589">
        <f t="shared" si="591"/>
        <v>28</v>
      </c>
      <c r="AD195" s="589">
        <f t="shared" si="591"/>
        <v>29</v>
      </c>
      <c r="AE195" s="589">
        <f t="shared" si="591"/>
        <v>30</v>
      </c>
    </row>
    <row r="196" spans="1:31">
      <c r="A196" s="590" t="s">
        <v>687</v>
      </c>
      <c r="B196" s="584">
        <f>B187</f>
        <v>0</v>
      </c>
      <c r="C196" s="584">
        <f t="shared" ref="C196:AE196" si="592">B197</f>
        <v>0</v>
      </c>
      <c r="D196" s="584">
        <f t="shared" si="592"/>
        <v>0</v>
      </c>
      <c r="E196" s="584">
        <f t="shared" si="592"/>
        <v>0</v>
      </c>
      <c r="F196" s="584">
        <f t="shared" si="592"/>
        <v>0</v>
      </c>
      <c r="G196" s="584">
        <f t="shared" si="592"/>
        <v>0</v>
      </c>
      <c r="H196" s="584">
        <f t="shared" si="592"/>
        <v>0</v>
      </c>
      <c r="I196" s="584">
        <f t="shared" si="592"/>
        <v>0</v>
      </c>
      <c r="J196" s="584">
        <f t="shared" si="592"/>
        <v>0</v>
      </c>
      <c r="K196" s="584">
        <f t="shared" si="592"/>
        <v>0</v>
      </c>
      <c r="L196" s="584">
        <f t="shared" si="592"/>
        <v>0</v>
      </c>
      <c r="M196" s="584">
        <f t="shared" si="592"/>
        <v>0</v>
      </c>
      <c r="N196" s="584">
        <f t="shared" si="592"/>
        <v>0</v>
      </c>
      <c r="O196" s="584">
        <f t="shared" si="592"/>
        <v>0</v>
      </c>
      <c r="P196" s="584">
        <f t="shared" si="592"/>
        <v>0</v>
      </c>
      <c r="Q196" s="584">
        <f t="shared" si="592"/>
        <v>0</v>
      </c>
      <c r="R196" s="584">
        <f t="shared" si="592"/>
        <v>0</v>
      </c>
      <c r="S196" s="584">
        <f t="shared" si="592"/>
        <v>0</v>
      </c>
      <c r="T196" s="584">
        <f t="shared" si="592"/>
        <v>0</v>
      </c>
      <c r="U196" s="584">
        <f t="shared" si="592"/>
        <v>0</v>
      </c>
      <c r="V196" s="584">
        <f t="shared" si="592"/>
        <v>0</v>
      </c>
      <c r="W196" s="584">
        <f t="shared" si="592"/>
        <v>0</v>
      </c>
      <c r="X196" s="584">
        <f t="shared" si="592"/>
        <v>0</v>
      </c>
      <c r="Y196" s="584">
        <f t="shared" si="592"/>
        <v>0</v>
      </c>
      <c r="Z196" s="584">
        <f t="shared" si="592"/>
        <v>0</v>
      </c>
      <c r="AA196" s="584">
        <f t="shared" si="592"/>
        <v>0</v>
      </c>
      <c r="AB196" s="584">
        <f t="shared" si="592"/>
        <v>0</v>
      </c>
      <c r="AC196" s="584">
        <f t="shared" si="592"/>
        <v>0</v>
      </c>
      <c r="AD196" s="584">
        <f t="shared" si="592"/>
        <v>0</v>
      </c>
      <c r="AE196" s="584">
        <f t="shared" si="592"/>
        <v>0</v>
      </c>
    </row>
    <row r="197" spans="1:31">
      <c r="A197" s="590" t="s">
        <v>688</v>
      </c>
      <c r="B197" s="584">
        <f>B196+B199</f>
        <v>0</v>
      </c>
      <c r="C197" s="584">
        <f t="shared" ref="C197:AE197" si="593">C196+C199</f>
        <v>0</v>
      </c>
      <c r="D197" s="584">
        <f t="shared" si="593"/>
        <v>0</v>
      </c>
      <c r="E197" s="584">
        <f>E196+E199</f>
        <v>0</v>
      </c>
      <c r="F197" s="584">
        <f t="shared" si="593"/>
        <v>0</v>
      </c>
      <c r="G197" s="584">
        <f t="shared" si="593"/>
        <v>0</v>
      </c>
      <c r="H197" s="584">
        <f t="shared" si="593"/>
        <v>0</v>
      </c>
      <c r="I197" s="584">
        <f t="shared" si="593"/>
        <v>0</v>
      </c>
      <c r="J197" s="584">
        <f t="shared" si="593"/>
        <v>0</v>
      </c>
      <c r="K197" s="584">
        <f t="shared" si="593"/>
        <v>0</v>
      </c>
      <c r="L197" s="584">
        <f t="shared" si="593"/>
        <v>0</v>
      </c>
      <c r="M197" s="584">
        <f t="shared" si="593"/>
        <v>0</v>
      </c>
      <c r="N197" s="584">
        <f t="shared" si="593"/>
        <v>0</v>
      </c>
      <c r="O197" s="584">
        <f t="shared" si="593"/>
        <v>0</v>
      </c>
      <c r="P197" s="584">
        <f t="shared" si="593"/>
        <v>0</v>
      </c>
      <c r="Q197" s="584">
        <f t="shared" si="593"/>
        <v>0</v>
      </c>
      <c r="R197" s="584">
        <f t="shared" si="593"/>
        <v>0</v>
      </c>
      <c r="S197" s="584">
        <f t="shared" si="593"/>
        <v>0</v>
      </c>
      <c r="T197" s="584">
        <f t="shared" si="593"/>
        <v>0</v>
      </c>
      <c r="U197" s="584">
        <f t="shared" si="593"/>
        <v>0</v>
      </c>
      <c r="V197" s="584">
        <f t="shared" si="593"/>
        <v>0</v>
      </c>
      <c r="W197" s="584">
        <f t="shared" si="593"/>
        <v>0</v>
      </c>
      <c r="X197" s="584">
        <f t="shared" si="593"/>
        <v>0</v>
      </c>
      <c r="Y197" s="584">
        <f t="shared" si="593"/>
        <v>0</v>
      </c>
      <c r="Z197" s="584">
        <f t="shared" si="593"/>
        <v>0</v>
      </c>
      <c r="AA197" s="584">
        <f t="shared" si="593"/>
        <v>0</v>
      </c>
      <c r="AB197" s="584">
        <f t="shared" si="593"/>
        <v>0</v>
      </c>
      <c r="AC197" s="584">
        <f t="shared" si="593"/>
        <v>0</v>
      </c>
      <c r="AD197" s="584">
        <f t="shared" si="593"/>
        <v>0</v>
      </c>
      <c r="AE197" s="584">
        <f t="shared" si="593"/>
        <v>0</v>
      </c>
    </row>
    <row r="198" spans="1:31">
      <c r="A198" s="590" t="s">
        <v>680</v>
      </c>
      <c r="B198" s="584">
        <f>IF($B$190=B195,B196,0)</f>
        <v>0</v>
      </c>
      <c r="C198" s="584">
        <f t="shared" ref="C198:AE198" si="594">IF($B$190=C195,C196,0)</f>
        <v>0</v>
      </c>
      <c r="D198" s="584">
        <f t="shared" si="594"/>
        <v>0</v>
      </c>
      <c r="E198" s="584">
        <f t="shared" si="594"/>
        <v>0</v>
      </c>
      <c r="F198" s="584">
        <f t="shared" si="594"/>
        <v>0</v>
      </c>
      <c r="G198" s="584">
        <f t="shared" si="594"/>
        <v>0</v>
      </c>
      <c r="H198" s="584">
        <f t="shared" si="594"/>
        <v>0</v>
      </c>
      <c r="I198" s="584">
        <f t="shared" si="594"/>
        <v>0</v>
      </c>
      <c r="J198" s="584">
        <f t="shared" si="594"/>
        <v>0</v>
      </c>
      <c r="K198" s="584">
        <f t="shared" si="594"/>
        <v>0</v>
      </c>
      <c r="L198" s="584">
        <f t="shared" si="594"/>
        <v>0</v>
      </c>
      <c r="M198" s="584">
        <f t="shared" si="594"/>
        <v>0</v>
      </c>
      <c r="N198" s="584">
        <f t="shared" si="594"/>
        <v>0</v>
      </c>
      <c r="O198" s="584">
        <f t="shared" si="594"/>
        <v>0</v>
      </c>
      <c r="P198" s="584">
        <f t="shared" si="594"/>
        <v>0</v>
      </c>
      <c r="Q198" s="584">
        <f t="shared" si="594"/>
        <v>0</v>
      </c>
      <c r="R198" s="584">
        <f t="shared" si="594"/>
        <v>0</v>
      </c>
      <c r="S198" s="584">
        <f t="shared" si="594"/>
        <v>0</v>
      </c>
      <c r="T198" s="584">
        <f t="shared" si="594"/>
        <v>0</v>
      </c>
      <c r="U198" s="584">
        <f t="shared" si="594"/>
        <v>0</v>
      </c>
      <c r="V198" s="584">
        <f t="shared" si="594"/>
        <v>0</v>
      </c>
      <c r="W198" s="584">
        <f t="shared" si="594"/>
        <v>0</v>
      </c>
      <c r="X198" s="584">
        <f t="shared" si="594"/>
        <v>0</v>
      </c>
      <c r="Y198" s="584">
        <f t="shared" si="594"/>
        <v>0</v>
      </c>
      <c r="Z198" s="584">
        <f t="shared" si="594"/>
        <v>0</v>
      </c>
      <c r="AA198" s="584">
        <f t="shared" si="594"/>
        <v>0</v>
      </c>
      <c r="AB198" s="584">
        <f t="shared" si="594"/>
        <v>0</v>
      </c>
      <c r="AC198" s="584">
        <f t="shared" si="594"/>
        <v>0</v>
      </c>
      <c r="AD198" s="584">
        <f t="shared" si="594"/>
        <v>0</v>
      </c>
      <c r="AE198" s="584">
        <f t="shared" si="594"/>
        <v>0</v>
      </c>
    </row>
    <row r="199" spans="1:31">
      <c r="A199" s="590" t="s">
        <v>681</v>
      </c>
      <c r="B199" s="584">
        <f>B196*$B$188</f>
        <v>0</v>
      </c>
      <c r="C199" s="584">
        <f>C196*$B$188</f>
        <v>0</v>
      </c>
      <c r="D199" s="584">
        <f>D196*$B$188</f>
        <v>0</v>
      </c>
      <c r="E199" s="584">
        <f>E196*$B$188</f>
        <v>0</v>
      </c>
      <c r="F199" s="584">
        <f t="shared" ref="F199:AE199" si="595">F196*$B$188</f>
        <v>0</v>
      </c>
      <c r="G199" s="584">
        <f t="shared" si="595"/>
        <v>0</v>
      </c>
      <c r="H199" s="584">
        <f t="shared" si="595"/>
        <v>0</v>
      </c>
      <c r="I199" s="584">
        <f t="shared" si="595"/>
        <v>0</v>
      </c>
      <c r="J199" s="584">
        <f t="shared" si="595"/>
        <v>0</v>
      </c>
      <c r="K199" s="584">
        <f t="shared" si="595"/>
        <v>0</v>
      </c>
      <c r="L199" s="584">
        <f t="shared" si="595"/>
        <v>0</v>
      </c>
      <c r="M199" s="584">
        <f t="shared" si="595"/>
        <v>0</v>
      </c>
      <c r="N199" s="584">
        <f t="shared" si="595"/>
        <v>0</v>
      </c>
      <c r="O199" s="584">
        <f t="shared" si="595"/>
        <v>0</v>
      </c>
      <c r="P199" s="584">
        <f t="shared" si="595"/>
        <v>0</v>
      </c>
      <c r="Q199" s="584">
        <f t="shared" si="595"/>
        <v>0</v>
      </c>
      <c r="R199" s="584">
        <f t="shared" si="595"/>
        <v>0</v>
      </c>
      <c r="S199" s="584">
        <f t="shared" si="595"/>
        <v>0</v>
      </c>
      <c r="T199" s="584">
        <f t="shared" si="595"/>
        <v>0</v>
      </c>
      <c r="U199" s="584">
        <f t="shared" si="595"/>
        <v>0</v>
      </c>
      <c r="V199" s="584">
        <f t="shared" si="595"/>
        <v>0</v>
      </c>
      <c r="W199" s="584">
        <f t="shared" si="595"/>
        <v>0</v>
      </c>
      <c r="X199" s="584">
        <f t="shared" si="595"/>
        <v>0</v>
      </c>
      <c r="Y199" s="584">
        <f t="shared" si="595"/>
        <v>0</v>
      </c>
      <c r="Z199" s="584">
        <f t="shared" si="595"/>
        <v>0</v>
      </c>
      <c r="AA199" s="584">
        <f t="shared" si="595"/>
        <v>0</v>
      </c>
      <c r="AB199" s="584">
        <f t="shared" si="595"/>
        <v>0</v>
      </c>
      <c r="AC199" s="584">
        <f t="shared" si="595"/>
        <v>0</v>
      </c>
      <c r="AD199" s="584">
        <f t="shared" si="595"/>
        <v>0</v>
      </c>
      <c r="AE199" s="584">
        <f t="shared" si="595"/>
        <v>0</v>
      </c>
    </row>
    <row r="200" spans="1:31">
      <c r="A200" s="590" t="s">
        <v>689</v>
      </c>
      <c r="B200" s="584">
        <f>B198+B199</f>
        <v>0</v>
      </c>
      <c r="C200" s="584">
        <f>C198+C199</f>
        <v>0</v>
      </c>
      <c r="D200" s="584">
        <f t="shared" ref="D200:AE200" si="596">D198+D199</f>
        <v>0</v>
      </c>
      <c r="E200" s="584">
        <f t="shared" si="596"/>
        <v>0</v>
      </c>
      <c r="F200" s="584">
        <f t="shared" si="596"/>
        <v>0</v>
      </c>
      <c r="G200" s="584">
        <f t="shared" si="596"/>
        <v>0</v>
      </c>
      <c r="H200" s="584">
        <f t="shared" si="596"/>
        <v>0</v>
      </c>
      <c r="I200" s="584">
        <f t="shared" si="596"/>
        <v>0</v>
      </c>
      <c r="J200" s="584">
        <f t="shared" si="596"/>
        <v>0</v>
      </c>
      <c r="K200" s="584">
        <f t="shared" si="596"/>
        <v>0</v>
      </c>
      <c r="L200" s="584">
        <f t="shared" si="596"/>
        <v>0</v>
      </c>
      <c r="M200" s="584">
        <f t="shared" si="596"/>
        <v>0</v>
      </c>
      <c r="N200" s="584">
        <f t="shared" si="596"/>
        <v>0</v>
      </c>
      <c r="O200" s="584">
        <f t="shared" si="596"/>
        <v>0</v>
      </c>
      <c r="P200" s="584">
        <f t="shared" si="596"/>
        <v>0</v>
      </c>
      <c r="Q200" s="584">
        <f t="shared" si="596"/>
        <v>0</v>
      </c>
      <c r="R200" s="584">
        <f t="shared" si="596"/>
        <v>0</v>
      </c>
      <c r="S200" s="584">
        <f t="shared" si="596"/>
        <v>0</v>
      </c>
      <c r="T200" s="584">
        <f t="shared" si="596"/>
        <v>0</v>
      </c>
      <c r="U200" s="584">
        <f t="shared" si="596"/>
        <v>0</v>
      </c>
      <c r="V200" s="584">
        <f t="shared" si="596"/>
        <v>0</v>
      </c>
      <c r="W200" s="584">
        <f t="shared" si="596"/>
        <v>0</v>
      </c>
      <c r="X200" s="584">
        <f t="shared" si="596"/>
        <v>0</v>
      </c>
      <c r="Y200" s="584">
        <f t="shared" si="596"/>
        <v>0</v>
      </c>
      <c r="Z200" s="584">
        <f t="shared" si="596"/>
        <v>0</v>
      </c>
      <c r="AA200" s="584">
        <f t="shared" si="596"/>
        <v>0</v>
      </c>
      <c r="AB200" s="584">
        <f t="shared" si="596"/>
        <v>0</v>
      </c>
      <c r="AC200" s="584">
        <f t="shared" si="596"/>
        <v>0</v>
      </c>
      <c r="AD200" s="584">
        <f t="shared" si="596"/>
        <v>0</v>
      </c>
      <c r="AE200" s="584">
        <f t="shared" si="596"/>
        <v>0</v>
      </c>
    </row>
    <row r="201" spans="1:31">
      <c r="A201" s="590"/>
    </row>
    <row r="203" spans="1:31">
      <c r="A203" s="592" t="str">
        <f>assumptions!A33</f>
        <v>VHCB</v>
      </c>
    </row>
    <row r="205" spans="1:31">
      <c r="A205" s="586" t="s">
        <v>680</v>
      </c>
      <c r="B205" s="584">
        <f>assumptions!B33</f>
        <v>0</v>
      </c>
    </row>
    <row r="206" spans="1:31">
      <c r="A206" s="586" t="s">
        <v>681</v>
      </c>
      <c r="B206" s="587">
        <f>assumptions!D33</f>
        <v>0</v>
      </c>
    </row>
    <row r="207" spans="1:31">
      <c r="A207" s="586" t="s">
        <v>682</v>
      </c>
      <c r="B207" s="584">
        <f>assumptions!E33</f>
        <v>0</v>
      </c>
    </row>
    <row r="208" spans="1:31">
      <c r="A208" s="586" t="s">
        <v>683</v>
      </c>
      <c r="B208" s="591">
        <f>IF(assumptions!F33="deferred",0,assumptions!F33)</f>
        <v>0</v>
      </c>
    </row>
    <row r="209" spans="1:31">
      <c r="A209" s="586" t="s">
        <v>684</v>
      </c>
      <c r="B209" s="584">
        <f>B205*(B206/12)</f>
        <v>0</v>
      </c>
    </row>
    <row r="210" spans="1:31">
      <c r="A210" s="586" t="s">
        <v>685</v>
      </c>
      <c r="B210" s="584">
        <f>B209*12</f>
        <v>0</v>
      </c>
    </row>
    <row r="213" spans="1:31">
      <c r="A213" s="588" t="s">
        <v>686</v>
      </c>
      <c r="B213" s="589">
        <v>1</v>
      </c>
      <c r="C213" s="589">
        <f t="shared" ref="C213:AE213" si="597">B213+1</f>
        <v>2</v>
      </c>
      <c r="D213" s="589">
        <f t="shared" si="597"/>
        <v>3</v>
      </c>
      <c r="E213" s="589">
        <f t="shared" si="597"/>
        <v>4</v>
      </c>
      <c r="F213" s="589">
        <f t="shared" si="597"/>
        <v>5</v>
      </c>
      <c r="G213" s="589">
        <f t="shared" si="597"/>
        <v>6</v>
      </c>
      <c r="H213" s="589">
        <f t="shared" si="597"/>
        <v>7</v>
      </c>
      <c r="I213" s="589">
        <f t="shared" si="597"/>
        <v>8</v>
      </c>
      <c r="J213" s="589">
        <f t="shared" si="597"/>
        <v>9</v>
      </c>
      <c r="K213" s="589">
        <f t="shared" si="597"/>
        <v>10</v>
      </c>
      <c r="L213" s="589">
        <f t="shared" si="597"/>
        <v>11</v>
      </c>
      <c r="M213" s="589">
        <f t="shared" si="597"/>
        <v>12</v>
      </c>
      <c r="N213" s="589">
        <f t="shared" si="597"/>
        <v>13</v>
      </c>
      <c r="O213" s="589">
        <f t="shared" si="597"/>
        <v>14</v>
      </c>
      <c r="P213" s="589">
        <f t="shared" si="597"/>
        <v>15</v>
      </c>
      <c r="Q213" s="589">
        <f t="shared" si="597"/>
        <v>16</v>
      </c>
      <c r="R213" s="589">
        <f t="shared" si="597"/>
        <v>17</v>
      </c>
      <c r="S213" s="589">
        <f t="shared" si="597"/>
        <v>18</v>
      </c>
      <c r="T213" s="589">
        <f t="shared" si="597"/>
        <v>19</v>
      </c>
      <c r="U213" s="589">
        <f t="shared" si="597"/>
        <v>20</v>
      </c>
      <c r="V213" s="589">
        <f t="shared" si="597"/>
        <v>21</v>
      </c>
      <c r="W213" s="589">
        <f t="shared" si="597"/>
        <v>22</v>
      </c>
      <c r="X213" s="589">
        <f t="shared" si="597"/>
        <v>23</v>
      </c>
      <c r="Y213" s="589">
        <f t="shared" si="597"/>
        <v>24</v>
      </c>
      <c r="Z213" s="589">
        <f t="shared" si="597"/>
        <v>25</v>
      </c>
      <c r="AA213" s="589">
        <f t="shared" si="597"/>
        <v>26</v>
      </c>
      <c r="AB213" s="589">
        <f t="shared" si="597"/>
        <v>27</v>
      </c>
      <c r="AC213" s="589">
        <f t="shared" si="597"/>
        <v>28</v>
      </c>
      <c r="AD213" s="589">
        <f t="shared" si="597"/>
        <v>29</v>
      </c>
      <c r="AE213" s="589">
        <f t="shared" si="597"/>
        <v>30</v>
      </c>
    </row>
    <row r="214" spans="1:31">
      <c r="A214" s="590" t="s">
        <v>687</v>
      </c>
      <c r="B214" s="584">
        <f>B205</f>
        <v>0</v>
      </c>
      <c r="C214" s="584">
        <f t="shared" ref="C214:AE214" si="598">B215</f>
        <v>0</v>
      </c>
      <c r="D214" s="584">
        <f t="shared" si="598"/>
        <v>0</v>
      </c>
      <c r="E214" s="584">
        <f t="shared" si="598"/>
        <v>0</v>
      </c>
      <c r="F214" s="584">
        <f t="shared" si="598"/>
        <v>0</v>
      </c>
      <c r="G214" s="584">
        <f t="shared" si="598"/>
        <v>0</v>
      </c>
      <c r="H214" s="584">
        <f t="shared" si="598"/>
        <v>0</v>
      </c>
      <c r="I214" s="584">
        <f t="shared" si="598"/>
        <v>0</v>
      </c>
      <c r="J214" s="584">
        <f t="shared" si="598"/>
        <v>0</v>
      </c>
      <c r="K214" s="584">
        <f t="shared" si="598"/>
        <v>0</v>
      </c>
      <c r="L214" s="584">
        <f t="shared" si="598"/>
        <v>0</v>
      </c>
      <c r="M214" s="584">
        <f t="shared" si="598"/>
        <v>0</v>
      </c>
      <c r="N214" s="584">
        <f t="shared" si="598"/>
        <v>0</v>
      </c>
      <c r="O214" s="584">
        <f t="shared" si="598"/>
        <v>0</v>
      </c>
      <c r="P214" s="584">
        <f t="shared" si="598"/>
        <v>0</v>
      </c>
      <c r="Q214" s="584">
        <f t="shared" si="598"/>
        <v>0</v>
      </c>
      <c r="R214" s="584">
        <f t="shared" si="598"/>
        <v>0</v>
      </c>
      <c r="S214" s="584">
        <f t="shared" si="598"/>
        <v>0</v>
      </c>
      <c r="T214" s="584">
        <f t="shared" si="598"/>
        <v>0</v>
      </c>
      <c r="U214" s="584">
        <f t="shared" si="598"/>
        <v>0</v>
      </c>
      <c r="V214" s="584">
        <f t="shared" si="598"/>
        <v>0</v>
      </c>
      <c r="W214" s="584">
        <f t="shared" si="598"/>
        <v>0</v>
      </c>
      <c r="X214" s="584">
        <f t="shared" si="598"/>
        <v>0</v>
      </c>
      <c r="Y214" s="584">
        <f t="shared" si="598"/>
        <v>0</v>
      </c>
      <c r="Z214" s="584">
        <f t="shared" si="598"/>
        <v>0</v>
      </c>
      <c r="AA214" s="584">
        <f t="shared" si="598"/>
        <v>0</v>
      </c>
      <c r="AB214" s="584">
        <f t="shared" si="598"/>
        <v>0</v>
      </c>
      <c r="AC214" s="584">
        <f t="shared" si="598"/>
        <v>0</v>
      </c>
      <c r="AD214" s="584">
        <f t="shared" si="598"/>
        <v>0</v>
      </c>
      <c r="AE214" s="584">
        <f t="shared" si="598"/>
        <v>0</v>
      </c>
    </row>
    <row r="215" spans="1:31">
      <c r="A215" s="590" t="s">
        <v>688</v>
      </c>
      <c r="B215" s="584">
        <f>B214+B217</f>
        <v>0</v>
      </c>
      <c r="C215" s="584">
        <f t="shared" ref="C215:AE215" si="599">C214+C217</f>
        <v>0</v>
      </c>
      <c r="D215" s="584">
        <f t="shared" si="599"/>
        <v>0</v>
      </c>
      <c r="E215" s="584">
        <f t="shared" si="599"/>
        <v>0</v>
      </c>
      <c r="F215" s="584">
        <f t="shared" si="599"/>
        <v>0</v>
      </c>
      <c r="G215" s="584">
        <f t="shared" si="599"/>
        <v>0</v>
      </c>
      <c r="H215" s="584">
        <f t="shared" si="599"/>
        <v>0</v>
      </c>
      <c r="I215" s="584">
        <f t="shared" si="599"/>
        <v>0</v>
      </c>
      <c r="J215" s="584">
        <f t="shared" si="599"/>
        <v>0</v>
      </c>
      <c r="K215" s="584">
        <f t="shared" si="599"/>
        <v>0</v>
      </c>
      <c r="L215" s="584">
        <f t="shared" si="599"/>
        <v>0</v>
      </c>
      <c r="M215" s="584">
        <f t="shared" si="599"/>
        <v>0</v>
      </c>
      <c r="N215" s="584">
        <f t="shared" si="599"/>
        <v>0</v>
      </c>
      <c r="O215" s="584">
        <f t="shared" si="599"/>
        <v>0</v>
      </c>
      <c r="P215" s="584">
        <f t="shared" si="599"/>
        <v>0</v>
      </c>
      <c r="Q215" s="584">
        <f t="shared" si="599"/>
        <v>0</v>
      </c>
      <c r="R215" s="584">
        <f t="shared" si="599"/>
        <v>0</v>
      </c>
      <c r="S215" s="584">
        <f t="shared" si="599"/>
        <v>0</v>
      </c>
      <c r="T215" s="584">
        <f t="shared" si="599"/>
        <v>0</v>
      </c>
      <c r="U215" s="584">
        <f t="shared" si="599"/>
        <v>0</v>
      </c>
      <c r="V215" s="584">
        <f t="shared" si="599"/>
        <v>0</v>
      </c>
      <c r="W215" s="584">
        <f t="shared" si="599"/>
        <v>0</v>
      </c>
      <c r="X215" s="584">
        <f t="shared" si="599"/>
        <v>0</v>
      </c>
      <c r="Y215" s="584">
        <f t="shared" si="599"/>
        <v>0</v>
      </c>
      <c r="Z215" s="584">
        <f t="shared" si="599"/>
        <v>0</v>
      </c>
      <c r="AA215" s="584">
        <f t="shared" si="599"/>
        <v>0</v>
      </c>
      <c r="AB215" s="584">
        <f t="shared" si="599"/>
        <v>0</v>
      </c>
      <c r="AC215" s="584">
        <f t="shared" si="599"/>
        <v>0</v>
      </c>
      <c r="AD215" s="584">
        <f t="shared" si="599"/>
        <v>0</v>
      </c>
      <c r="AE215" s="584">
        <f t="shared" si="599"/>
        <v>0</v>
      </c>
    </row>
    <row r="216" spans="1:31">
      <c r="A216" s="590" t="s">
        <v>680</v>
      </c>
      <c r="B216" s="584">
        <f>IF($B208=B213,B214,0)</f>
        <v>0</v>
      </c>
      <c r="C216" s="584">
        <f t="shared" ref="C216:AE216" si="600">IF($B$208=C213,C214,0)</f>
        <v>0</v>
      </c>
      <c r="D216" s="584">
        <f t="shared" si="600"/>
        <v>0</v>
      </c>
      <c r="E216" s="584">
        <f t="shared" si="600"/>
        <v>0</v>
      </c>
      <c r="F216" s="584">
        <f t="shared" si="600"/>
        <v>0</v>
      </c>
      <c r="G216" s="584">
        <f t="shared" si="600"/>
        <v>0</v>
      </c>
      <c r="H216" s="584">
        <f t="shared" si="600"/>
        <v>0</v>
      </c>
      <c r="I216" s="584">
        <f t="shared" si="600"/>
        <v>0</v>
      </c>
      <c r="J216" s="584">
        <f t="shared" si="600"/>
        <v>0</v>
      </c>
      <c r="K216" s="584">
        <f t="shared" si="600"/>
        <v>0</v>
      </c>
      <c r="L216" s="584">
        <f t="shared" si="600"/>
        <v>0</v>
      </c>
      <c r="M216" s="584">
        <f t="shared" si="600"/>
        <v>0</v>
      </c>
      <c r="N216" s="584">
        <f t="shared" si="600"/>
        <v>0</v>
      </c>
      <c r="O216" s="584">
        <f t="shared" si="600"/>
        <v>0</v>
      </c>
      <c r="P216" s="584">
        <f t="shared" si="600"/>
        <v>0</v>
      </c>
      <c r="Q216" s="584">
        <f t="shared" si="600"/>
        <v>0</v>
      </c>
      <c r="R216" s="584">
        <f t="shared" si="600"/>
        <v>0</v>
      </c>
      <c r="S216" s="584">
        <f t="shared" si="600"/>
        <v>0</v>
      </c>
      <c r="T216" s="584">
        <f t="shared" si="600"/>
        <v>0</v>
      </c>
      <c r="U216" s="584">
        <f t="shared" si="600"/>
        <v>0</v>
      </c>
      <c r="V216" s="584">
        <f t="shared" si="600"/>
        <v>0</v>
      </c>
      <c r="W216" s="584">
        <f t="shared" si="600"/>
        <v>0</v>
      </c>
      <c r="X216" s="584">
        <f t="shared" si="600"/>
        <v>0</v>
      </c>
      <c r="Y216" s="584">
        <f t="shared" si="600"/>
        <v>0</v>
      </c>
      <c r="Z216" s="584">
        <f t="shared" si="600"/>
        <v>0</v>
      </c>
      <c r="AA216" s="584">
        <f t="shared" si="600"/>
        <v>0</v>
      </c>
      <c r="AB216" s="584">
        <f t="shared" si="600"/>
        <v>0</v>
      </c>
      <c r="AC216" s="584">
        <f t="shared" si="600"/>
        <v>0</v>
      </c>
      <c r="AD216" s="584">
        <f t="shared" si="600"/>
        <v>0</v>
      </c>
      <c r="AE216" s="584">
        <f t="shared" si="600"/>
        <v>0</v>
      </c>
    </row>
    <row r="217" spans="1:31">
      <c r="A217" s="590" t="s">
        <v>681</v>
      </c>
      <c r="B217" s="584">
        <f>B214*$B$206</f>
        <v>0</v>
      </c>
      <c r="C217" s="584">
        <f>C214*$B$206</f>
        <v>0</v>
      </c>
      <c r="D217" s="584">
        <f>D214*$B$206</f>
        <v>0</v>
      </c>
      <c r="E217" s="584">
        <f>E214*$B$206</f>
        <v>0</v>
      </c>
      <c r="F217" s="584">
        <f t="shared" ref="F217:AE217" si="601">F214*$B$206</f>
        <v>0</v>
      </c>
      <c r="G217" s="584">
        <f t="shared" si="601"/>
        <v>0</v>
      </c>
      <c r="H217" s="584">
        <f t="shared" si="601"/>
        <v>0</v>
      </c>
      <c r="I217" s="584">
        <f t="shared" si="601"/>
        <v>0</v>
      </c>
      <c r="J217" s="584">
        <f t="shared" si="601"/>
        <v>0</v>
      </c>
      <c r="K217" s="584">
        <f t="shared" si="601"/>
        <v>0</v>
      </c>
      <c r="L217" s="584">
        <f t="shared" si="601"/>
        <v>0</v>
      </c>
      <c r="M217" s="584">
        <f t="shared" si="601"/>
        <v>0</v>
      </c>
      <c r="N217" s="584">
        <f t="shared" si="601"/>
        <v>0</v>
      </c>
      <c r="O217" s="584">
        <f t="shared" si="601"/>
        <v>0</v>
      </c>
      <c r="P217" s="584">
        <f t="shared" si="601"/>
        <v>0</v>
      </c>
      <c r="Q217" s="584">
        <f t="shared" si="601"/>
        <v>0</v>
      </c>
      <c r="R217" s="584">
        <f t="shared" si="601"/>
        <v>0</v>
      </c>
      <c r="S217" s="584">
        <f t="shared" si="601"/>
        <v>0</v>
      </c>
      <c r="T217" s="584">
        <f t="shared" si="601"/>
        <v>0</v>
      </c>
      <c r="U217" s="584">
        <f t="shared" si="601"/>
        <v>0</v>
      </c>
      <c r="V217" s="584">
        <f t="shared" si="601"/>
        <v>0</v>
      </c>
      <c r="W217" s="584">
        <f t="shared" si="601"/>
        <v>0</v>
      </c>
      <c r="X217" s="584">
        <f t="shared" si="601"/>
        <v>0</v>
      </c>
      <c r="Y217" s="584">
        <f t="shared" si="601"/>
        <v>0</v>
      </c>
      <c r="Z217" s="584">
        <f t="shared" si="601"/>
        <v>0</v>
      </c>
      <c r="AA217" s="584">
        <f t="shared" si="601"/>
        <v>0</v>
      </c>
      <c r="AB217" s="584">
        <f t="shared" si="601"/>
        <v>0</v>
      </c>
      <c r="AC217" s="584">
        <f t="shared" si="601"/>
        <v>0</v>
      </c>
      <c r="AD217" s="584">
        <f t="shared" si="601"/>
        <v>0</v>
      </c>
      <c r="AE217" s="584">
        <f t="shared" si="601"/>
        <v>0</v>
      </c>
    </row>
    <row r="218" spans="1:31">
      <c r="A218" s="590" t="s">
        <v>689</v>
      </c>
      <c r="B218" s="584">
        <f>B216+B217</f>
        <v>0</v>
      </c>
      <c r="C218" s="584">
        <f>C216+C217</f>
        <v>0</v>
      </c>
      <c r="D218" s="584">
        <f t="shared" ref="D218:AE218" si="602">D216+D217</f>
        <v>0</v>
      </c>
      <c r="E218" s="584">
        <f t="shared" si="602"/>
        <v>0</v>
      </c>
      <c r="F218" s="584">
        <f t="shared" si="602"/>
        <v>0</v>
      </c>
      <c r="G218" s="584">
        <f t="shared" si="602"/>
        <v>0</v>
      </c>
      <c r="H218" s="584">
        <f t="shared" si="602"/>
        <v>0</v>
      </c>
      <c r="I218" s="584">
        <f t="shared" si="602"/>
        <v>0</v>
      </c>
      <c r="J218" s="584">
        <f t="shared" si="602"/>
        <v>0</v>
      </c>
      <c r="K218" s="584">
        <f t="shared" si="602"/>
        <v>0</v>
      </c>
      <c r="L218" s="584">
        <f t="shared" si="602"/>
        <v>0</v>
      </c>
      <c r="M218" s="584">
        <f t="shared" si="602"/>
        <v>0</v>
      </c>
      <c r="N218" s="584">
        <f t="shared" si="602"/>
        <v>0</v>
      </c>
      <c r="O218" s="584">
        <f t="shared" si="602"/>
        <v>0</v>
      </c>
      <c r="P218" s="584">
        <f t="shared" si="602"/>
        <v>0</v>
      </c>
      <c r="Q218" s="584">
        <f t="shared" si="602"/>
        <v>0</v>
      </c>
      <c r="R218" s="584">
        <f t="shared" si="602"/>
        <v>0</v>
      </c>
      <c r="S218" s="584">
        <f t="shared" si="602"/>
        <v>0</v>
      </c>
      <c r="T218" s="584">
        <f t="shared" si="602"/>
        <v>0</v>
      </c>
      <c r="U218" s="584">
        <f t="shared" si="602"/>
        <v>0</v>
      </c>
      <c r="V218" s="584">
        <f t="shared" si="602"/>
        <v>0</v>
      </c>
      <c r="W218" s="584">
        <f t="shared" si="602"/>
        <v>0</v>
      </c>
      <c r="X218" s="584">
        <f t="shared" si="602"/>
        <v>0</v>
      </c>
      <c r="Y218" s="584">
        <f t="shared" si="602"/>
        <v>0</v>
      </c>
      <c r="Z218" s="584">
        <f t="shared" si="602"/>
        <v>0</v>
      </c>
      <c r="AA218" s="584">
        <f t="shared" si="602"/>
        <v>0</v>
      </c>
      <c r="AB218" s="584">
        <f t="shared" si="602"/>
        <v>0</v>
      </c>
      <c r="AC218" s="584">
        <f t="shared" si="602"/>
        <v>0</v>
      </c>
      <c r="AD218" s="584">
        <f t="shared" si="602"/>
        <v>0</v>
      </c>
      <c r="AE218" s="584">
        <f t="shared" si="602"/>
        <v>0</v>
      </c>
    </row>
    <row r="219" spans="1:31">
      <c r="A219" s="590"/>
    </row>
    <row r="221" spans="1:31">
      <c r="A221" s="592" t="str">
        <f>assumptions!A34</f>
        <v>VHCB Feasibility</v>
      </c>
    </row>
    <row r="223" spans="1:31">
      <c r="A223" s="586" t="s">
        <v>680</v>
      </c>
      <c r="B223" s="584">
        <f>assumptions!B34</f>
        <v>0</v>
      </c>
    </row>
    <row r="224" spans="1:31">
      <c r="A224" s="586" t="s">
        <v>681</v>
      </c>
      <c r="B224" s="587">
        <f>assumptions!D34</f>
        <v>0</v>
      </c>
    </row>
    <row r="225" spans="1:31">
      <c r="A225" s="586" t="s">
        <v>682</v>
      </c>
      <c r="B225" s="584">
        <f>assumptions!E34</f>
        <v>0</v>
      </c>
    </row>
    <row r="226" spans="1:31">
      <c r="A226" s="586" t="s">
        <v>683</v>
      </c>
      <c r="B226" s="591">
        <f>IF(assumptions!F34="deferred",0,assumptions!F34)</f>
        <v>0</v>
      </c>
    </row>
    <row r="227" spans="1:31">
      <c r="A227" s="586" t="s">
        <v>684</v>
      </c>
      <c r="B227" s="584">
        <f>B223*(B224/12)</f>
        <v>0</v>
      </c>
    </row>
    <row r="228" spans="1:31">
      <c r="A228" s="586" t="s">
        <v>685</v>
      </c>
      <c r="B228" s="584">
        <f>B227*12</f>
        <v>0</v>
      </c>
    </row>
    <row r="230" spans="1:31">
      <c r="A230" s="588" t="s">
        <v>686</v>
      </c>
      <c r="B230" s="589">
        <v>1</v>
      </c>
      <c r="C230" s="589">
        <f t="shared" ref="C230:AE230" si="603">B230+1</f>
        <v>2</v>
      </c>
      <c r="D230" s="589">
        <f t="shared" si="603"/>
        <v>3</v>
      </c>
      <c r="E230" s="589">
        <f t="shared" si="603"/>
        <v>4</v>
      </c>
      <c r="F230" s="589">
        <f t="shared" si="603"/>
        <v>5</v>
      </c>
      <c r="G230" s="589">
        <f t="shared" si="603"/>
        <v>6</v>
      </c>
      <c r="H230" s="589">
        <f t="shared" si="603"/>
        <v>7</v>
      </c>
      <c r="I230" s="589">
        <f t="shared" si="603"/>
        <v>8</v>
      </c>
      <c r="J230" s="589">
        <f t="shared" si="603"/>
        <v>9</v>
      </c>
      <c r="K230" s="589">
        <f t="shared" si="603"/>
        <v>10</v>
      </c>
      <c r="L230" s="589">
        <f t="shared" si="603"/>
        <v>11</v>
      </c>
      <c r="M230" s="589">
        <f t="shared" si="603"/>
        <v>12</v>
      </c>
      <c r="N230" s="589">
        <f t="shared" si="603"/>
        <v>13</v>
      </c>
      <c r="O230" s="589">
        <f t="shared" si="603"/>
        <v>14</v>
      </c>
      <c r="P230" s="589">
        <f t="shared" si="603"/>
        <v>15</v>
      </c>
      <c r="Q230" s="589">
        <f t="shared" si="603"/>
        <v>16</v>
      </c>
      <c r="R230" s="589">
        <f t="shared" si="603"/>
        <v>17</v>
      </c>
      <c r="S230" s="589">
        <f t="shared" si="603"/>
        <v>18</v>
      </c>
      <c r="T230" s="589">
        <f t="shared" si="603"/>
        <v>19</v>
      </c>
      <c r="U230" s="589">
        <f t="shared" si="603"/>
        <v>20</v>
      </c>
      <c r="V230" s="589">
        <f t="shared" si="603"/>
        <v>21</v>
      </c>
      <c r="W230" s="589">
        <f t="shared" si="603"/>
        <v>22</v>
      </c>
      <c r="X230" s="589">
        <f t="shared" si="603"/>
        <v>23</v>
      </c>
      <c r="Y230" s="589">
        <f t="shared" si="603"/>
        <v>24</v>
      </c>
      <c r="Z230" s="589">
        <f t="shared" si="603"/>
        <v>25</v>
      </c>
      <c r="AA230" s="589">
        <f t="shared" si="603"/>
        <v>26</v>
      </c>
      <c r="AB230" s="589">
        <f t="shared" si="603"/>
        <v>27</v>
      </c>
      <c r="AC230" s="589">
        <f t="shared" si="603"/>
        <v>28</v>
      </c>
      <c r="AD230" s="589">
        <f t="shared" si="603"/>
        <v>29</v>
      </c>
      <c r="AE230" s="589">
        <f t="shared" si="603"/>
        <v>30</v>
      </c>
    </row>
    <row r="231" spans="1:31">
      <c r="A231" s="590" t="s">
        <v>687</v>
      </c>
      <c r="B231" s="584">
        <f>B223</f>
        <v>0</v>
      </c>
      <c r="C231" s="584">
        <f>B232</f>
        <v>0</v>
      </c>
      <c r="D231" s="584">
        <f t="shared" ref="D231:AE231" si="604">C232</f>
        <v>0</v>
      </c>
      <c r="E231" s="584">
        <f t="shared" si="604"/>
        <v>0</v>
      </c>
      <c r="F231" s="584">
        <f t="shared" si="604"/>
        <v>0</v>
      </c>
      <c r="G231" s="584">
        <f t="shared" si="604"/>
        <v>0</v>
      </c>
      <c r="H231" s="584">
        <f t="shared" si="604"/>
        <v>0</v>
      </c>
      <c r="I231" s="584">
        <f t="shared" si="604"/>
        <v>0</v>
      </c>
      <c r="J231" s="584">
        <f t="shared" si="604"/>
        <v>0</v>
      </c>
      <c r="K231" s="584">
        <f t="shared" si="604"/>
        <v>0</v>
      </c>
      <c r="L231" s="584">
        <f t="shared" si="604"/>
        <v>0</v>
      </c>
      <c r="M231" s="584">
        <f t="shared" si="604"/>
        <v>0</v>
      </c>
      <c r="N231" s="584">
        <f t="shared" si="604"/>
        <v>0</v>
      </c>
      <c r="O231" s="584">
        <f t="shared" si="604"/>
        <v>0</v>
      </c>
      <c r="P231" s="584">
        <f t="shared" si="604"/>
        <v>0</v>
      </c>
      <c r="Q231" s="584">
        <f t="shared" si="604"/>
        <v>0</v>
      </c>
      <c r="R231" s="584">
        <f t="shared" si="604"/>
        <v>0</v>
      </c>
      <c r="S231" s="584">
        <f t="shared" si="604"/>
        <v>0</v>
      </c>
      <c r="T231" s="584">
        <f t="shared" si="604"/>
        <v>0</v>
      </c>
      <c r="U231" s="584">
        <f t="shared" si="604"/>
        <v>0</v>
      </c>
      <c r="V231" s="584">
        <f t="shared" si="604"/>
        <v>0</v>
      </c>
      <c r="W231" s="584">
        <f t="shared" si="604"/>
        <v>0</v>
      </c>
      <c r="X231" s="584">
        <f t="shared" si="604"/>
        <v>0</v>
      </c>
      <c r="Y231" s="584">
        <f t="shared" si="604"/>
        <v>0</v>
      </c>
      <c r="Z231" s="584">
        <f t="shared" si="604"/>
        <v>0</v>
      </c>
      <c r="AA231" s="584">
        <f t="shared" si="604"/>
        <v>0</v>
      </c>
      <c r="AB231" s="584">
        <f t="shared" si="604"/>
        <v>0</v>
      </c>
      <c r="AC231" s="584">
        <f t="shared" si="604"/>
        <v>0</v>
      </c>
      <c r="AD231" s="584">
        <f t="shared" si="604"/>
        <v>0</v>
      </c>
      <c r="AE231" s="584">
        <f t="shared" si="604"/>
        <v>0</v>
      </c>
    </row>
    <row r="232" spans="1:31">
      <c r="A232" s="590" t="s">
        <v>688</v>
      </c>
      <c r="B232" s="584">
        <f>B231+B234</f>
        <v>0</v>
      </c>
      <c r="C232" s="584">
        <f>C231+C234</f>
        <v>0</v>
      </c>
      <c r="D232" s="584">
        <f>D231+D234</f>
        <v>0</v>
      </c>
      <c r="E232" s="584">
        <f>E231+E234</f>
        <v>0</v>
      </c>
      <c r="F232" s="584">
        <f t="shared" ref="F232:AE232" si="605">F231+F234</f>
        <v>0</v>
      </c>
      <c r="G232" s="584">
        <f t="shared" si="605"/>
        <v>0</v>
      </c>
      <c r="H232" s="584">
        <f t="shared" si="605"/>
        <v>0</v>
      </c>
      <c r="I232" s="584">
        <f t="shared" si="605"/>
        <v>0</v>
      </c>
      <c r="J232" s="584">
        <f t="shared" si="605"/>
        <v>0</v>
      </c>
      <c r="K232" s="584">
        <f t="shared" si="605"/>
        <v>0</v>
      </c>
      <c r="L232" s="584">
        <f t="shared" si="605"/>
        <v>0</v>
      </c>
      <c r="M232" s="584">
        <f t="shared" si="605"/>
        <v>0</v>
      </c>
      <c r="N232" s="584">
        <f t="shared" si="605"/>
        <v>0</v>
      </c>
      <c r="O232" s="584">
        <f t="shared" si="605"/>
        <v>0</v>
      </c>
      <c r="P232" s="584">
        <f t="shared" si="605"/>
        <v>0</v>
      </c>
      <c r="Q232" s="584">
        <f t="shared" si="605"/>
        <v>0</v>
      </c>
      <c r="R232" s="584">
        <f t="shared" si="605"/>
        <v>0</v>
      </c>
      <c r="S232" s="584">
        <f t="shared" si="605"/>
        <v>0</v>
      </c>
      <c r="T232" s="584">
        <f t="shared" si="605"/>
        <v>0</v>
      </c>
      <c r="U232" s="584">
        <f t="shared" si="605"/>
        <v>0</v>
      </c>
      <c r="V232" s="584">
        <f t="shared" si="605"/>
        <v>0</v>
      </c>
      <c r="W232" s="584">
        <f t="shared" si="605"/>
        <v>0</v>
      </c>
      <c r="X232" s="584">
        <f t="shared" si="605"/>
        <v>0</v>
      </c>
      <c r="Y232" s="584">
        <f t="shared" si="605"/>
        <v>0</v>
      </c>
      <c r="Z232" s="584">
        <f t="shared" si="605"/>
        <v>0</v>
      </c>
      <c r="AA232" s="584">
        <f t="shared" si="605"/>
        <v>0</v>
      </c>
      <c r="AB232" s="584">
        <f t="shared" si="605"/>
        <v>0</v>
      </c>
      <c r="AC232" s="584">
        <f t="shared" si="605"/>
        <v>0</v>
      </c>
      <c r="AD232" s="584">
        <f t="shared" si="605"/>
        <v>0</v>
      </c>
      <c r="AE232" s="584">
        <f t="shared" si="605"/>
        <v>0</v>
      </c>
    </row>
    <row r="233" spans="1:31">
      <c r="A233" s="590" t="s">
        <v>680</v>
      </c>
      <c r="B233" s="584">
        <f>IF($B226=B230,B231,0)</f>
        <v>0</v>
      </c>
      <c r="C233" s="584">
        <f t="shared" ref="C233:AE233" si="606">IF($B226=C230,C231,0)</f>
        <v>0</v>
      </c>
      <c r="D233" s="584">
        <f t="shared" si="606"/>
        <v>0</v>
      </c>
      <c r="E233" s="584">
        <f t="shared" si="606"/>
        <v>0</v>
      </c>
      <c r="F233" s="584">
        <f t="shared" si="606"/>
        <v>0</v>
      </c>
      <c r="G233" s="584">
        <f t="shared" si="606"/>
        <v>0</v>
      </c>
      <c r="H233" s="584">
        <f t="shared" si="606"/>
        <v>0</v>
      </c>
      <c r="I233" s="584">
        <f t="shared" si="606"/>
        <v>0</v>
      </c>
      <c r="J233" s="584">
        <f t="shared" si="606"/>
        <v>0</v>
      </c>
      <c r="K233" s="584">
        <f t="shared" si="606"/>
        <v>0</v>
      </c>
      <c r="L233" s="584">
        <f t="shared" si="606"/>
        <v>0</v>
      </c>
      <c r="M233" s="584">
        <f t="shared" si="606"/>
        <v>0</v>
      </c>
      <c r="N233" s="584">
        <f t="shared" si="606"/>
        <v>0</v>
      </c>
      <c r="O233" s="584">
        <f t="shared" si="606"/>
        <v>0</v>
      </c>
      <c r="P233" s="584">
        <f t="shared" si="606"/>
        <v>0</v>
      </c>
      <c r="Q233" s="584">
        <f t="shared" si="606"/>
        <v>0</v>
      </c>
      <c r="R233" s="584">
        <f t="shared" si="606"/>
        <v>0</v>
      </c>
      <c r="S233" s="584">
        <f t="shared" si="606"/>
        <v>0</v>
      </c>
      <c r="T233" s="584">
        <f t="shared" si="606"/>
        <v>0</v>
      </c>
      <c r="U233" s="584">
        <f t="shared" si="606"/>
        <v>0</v>
      </c>
      <c r="V233" s="584">
        <f t="shared" si="606"/>
        <v>0</v>
      </c>
      <c r="W233" s="584">
        <f t="shared" si="606"/>
        <v>0</v>
      </c>
      <c r="X233" s="584">
        <f t="shared" si="606"/>
        <v>0</v>
      </c>
      <c r="Y233" s="584">
        <f t="shared" si="606"/>
        <v>0</v>
      </c>
      <c r="Z233" s="584">
        <f t="shared" si="606"/>
        <v>0</v>
      </c>
      <c r="AA233" s="584">
        <f t="shared" si="606"/>
        <v>0</v>
      </c>
      <c r="AB233" s="584">
        <f t="shared" si="606"/>
        <v>0</v>
      </c>
      <c r="AC233" s="584">
        <f t="shared" si="606"/>
        <v>0</v>
      </c>
      <c r="AD233" s="584">
        <f t="shared" si="606"/>
        <v>0</v>
      </c>
      <c r="AE233" s="584">
        <f t="shared" si="606"/>
        <v>0</v>
      </c>
    </row>
    <row r="234" spans="1:31">
      <c r="A234" s="590" t="s">
        <v>681</v>
      </c>
      <c r="B234" s="584">
        <f>B231*$B$224</f>
        <v>0</v>
      </c>
      <c r="C234" s="584">
        <f>C231*$B$224</f>
        <v>0</v>
      </c>
      <c r="D234" s="584">
        <f>D231*$B$224</f>
        <v>0</v>
      </c>
      <c r="E234" s="584">
        <f>E231*$B$224</f>
        <v>0</v>
      </c>
      <c r="F234" s="584">
        <f t="shared" ref="F234:AD234" si="607">F231*$B$224</f>
        <v>0</v>
      </c>
      <c r="G234" s="584">
        <f t="shared" si="607"/>
        <v>0</v>
      </c>
      <c r="H234" s="584">
        <f t="shared" si="607"/>
        <v>0</v>
      </c>
      <c r="I234" s="584">
        <f t="shared" si="607"/>
        <v>0</v>
      </c>
      <c r="J234" s="584">
        <f t="shared" si="607"/>
        <v>0</v>
      </c>
      <c r="K234" s="584">
        <f t="shared" si="607"/>
        <v>0</v>
      </c>
      <c r="L234" s="584">
        <f t="shared" si="607"/>
        <v>0</v>
      </c>
      <c r="M234" s="584">
        <f t="shared" si="607"/>
        <v>0</v>
      </c>
      <c r="N234" s="584">
        <f t="shared" si="607"/>
        <v>0</v>
      </c>
      <c r="O234" s="584">
        <f t="shared" si="607"/>
        <v>0</v>
      </c>
      <c r="P234" s="584">
        <f t="shared" si="607"/>
        <v>0</v>
      </c>
      <c r="Q234" s="584">
        <f t="shared" si="607"/>
        <v>0</v>
      </c>
      <c r="R234" s="584">
        <f t="shared" si="607"/>
        <v>0</v>
      </c>
      <c r="S234" s="584">
        <f t="shared" si="607"/>
        <v>0</v>
      </c>
      <c r="T234" s="584">
        <f t="shared" si="607"/>
        <v>0</v>
      </c>
      <c r="U234" s="584">
        <f t="shared" si="607"/>
        <v>0</v>
      </c>
      <c r="V234" s="584">
        <f t="shared" si="607"/>
        <v>0</v>
      </c>
      <c r="W234" s="584">
        <f t="shared" si="607"/>
        <v>0</v>
      </c>
      <c r="X234" s="584">
        <f t="shared" si="607"/>
        <v>0</v>
      </c>
      <c r="Y234" s="584">
        <f t="shared" si="607"/>
        <v>0</v>
      </c>
      <c r="Z234" s="584">
        <f t="shared" si="607"/>
        <v>0</v>
      </c>
      <c r="AA234" s="584">
        <f t="shared" si="607"/>
        <v>0</v>
      </c>
      <c r="AB234" s="584">
        <f t="shared" si="607"/>
        <v>0</v>
      </c>
      <c r="AC234" s="584">
        <f t="shared" si="607"/>
        <v>0</v>
      </c>
      <c r="AD234" s="584">
        <f t="shared" si="607"/>
        <v>0</v>
      </c>
      <c r="AE234" s="584">
        <f>AE231*$B$224</f>
        <v>0</v>
      </c>
    </row>
    <row r="235" spans="1:31">
      <c r="A235" s="590" t="s">
        <v>689</v>
      </c>
      <c r="B235" s="584">
        <f>B233+B234</f>
        <v>0</v>
      </c>
      <c r="C235" s="584">
        <f>C233+C234</f>
        <v>0</v>
      </c>
      <c r="D235" s="584">
        <f t="shared" ref="D235:AE235" si="608">D233+D234</f>
        <v>0</v>
      </c>
      <c r="E235" s="584">
        <f>E233+E234</f>
        <v>0</v>
      </c>
      <c r="F235" s="584">
        <f t="shared" si="608"/>
        <v>0</v>
      </c>
      <c r="G235" s="584">
        <f t="shared" si="608"/>
        <v>0</v>
      </c>
      <c r="H235" s="584">
        <f t="shared" si="608"/>
        <v>0</v>
      </c>
      <c r="I235" s="584">
        <f t="shared" si="608"/>
        <v>0</v>
      </c>
      <c r="J235" s="584">
        <f t="shared" si="608"/>
        <v>0</v>
      </c>
      <c r="K235" s="584">
        <f t="shared" si="608"/>
        <v>0</v>
      </c>
      <c r="L235" s="584">
        <f t="shared" si="608"/>
        <v>0</v>
      </c>
      <c r="M235" s="584">
        <f t="shared" si="608"/>
        <v>0</v>
      </c>
      <c r="N235" s="584">
        <f t="shared" si="608"/>
        <v>0</v>
      </c>
      <c r="O235" s="584">
        <f t="shared" si="608"/>
        <v>0</v>
      </c>
      <c r="P235" s="584">
        <f t="shared" si="608"/>
        <v>0</v>
      </c>
      <c r="Q235" s="584">
        <f t="shared" si="608"/>
        <v>0</v>
      </c>
      <c r="R235" s="584">
        <f t="shared" si="608"/>
        <v>0</v>
      </c>
      <c r="S235" s="584">
        <f t="shared" si="608"/>
        <v>0</v>
      </c>
      <c r="T235" s="584">
        <f t="shared" si="608"/>
        <v>0</v>
      </c>
      <c r="U235" s="584">
        <f t="shared" si="608"/>
        <v>0</v>
      </c>
      <c r="V235" s="584">
        <f t="shared" si="608"/>
        <v>0</v>
      </c>
      <c r="W235" s="584">
        <f t="shared" si="608"/>
        <v>0</v>
      </c>
      <c r="X235" s="584">
        <f t="shared" si="608"/>
        <v>0</v>
      </c>
      <c r="Y235" s="584">
        <f t="shared" si="608"/>
        <v>0</v>
      </c>
      <c r="Z235" s="584">
        <f t="shared" si="608"/>
        <v>0</v>
      </c>
      <c r="AA235" s="584">
        <f t="shared" si="608"/>
        <v>0</v>
      </c>
      <c r="AB235" s="584">
        <f t="shared" si="608"/>
        <v>0</v>
      </c>
      <c r="AC235" s="584">
        <f t="shared" si="608"/>
        <v>0</v>
      </c>
      <c r="AD235" s="584">
        <f t="shared" si="608"/>
        <v>0</v>
      </c>
      <c r="AE235" s="584">
        <f t="shared" si="608"/>
        <v>0</v>
      </c>
    </row>
    <row r="236" spans="1:31">
      <c r="A236" s="590"/>
    </row>
    <row r="238" spans="1:31">
      <c r="A238" s="592" t="str">
        <f>assumptions!A35</f>
        <v>Energy Incentives</v>
      </c>
    </row>
    <row r="240" spans="1:31">
      <c r="A240" s="586" t="s">
        <v>680</v>
      </c>
      <c r="B240" s="584">
        <f>assumptions!B35</f>
        <v>0</v>
      </c>
    </row>
    <row r="241" spans="1:31">
      <c r="A241" s="586" t="s">
        <v>681</v>
      </c>
      <c r="B241" s="587">
        <f>assumptions!D35</f>
        <v>0</v>
      </c>
    </row>
    <row r="242" spans="1:31">
      <c r="A242" s="586" t="s">
        <v>682</v>
      </c>
      <c r="B242" s="584">
        <f>assumptions!E35</f>
        <v>0</v>
      </c>
    </row>
    <row r="243" spans="1:31">
      <c r="A243" s="586" t="s">
        <v>683</v>
      </c>
      <c r="B243" s="591">
        <f>IF(assumptions!F35="deferred",0,assumptions!F35)</f>
        <v>0</v>
      </c>
    </row>
    <row r="244" spans="1:31">
      <c r="A244" s="586" t="s">
        <v>684</v>
      </c>
      <c r="B244" s="584">
        <f>B240*(B241/12)</f>
        <v>0</v>
      </c>
    </row>
    <row r="245" spans="1:31">
      <c r="A245" s="586" t="s">
        <v>685</v>
      </c>
      <c r="B245" s="584">
        <f>B244*12</f>
        <v>0</v>
      </c>
    </row>
    <row r="248" spans="1:31">
      <c r="A248" s="588" t="s">
        <v>686</v>
      </c>
      <c r="B248" s="589">
        <v>1</v>
      </c>
      <c r="C248" s="589">
        <f t="shared" ref="C248:AE248" si="609">B248+1</f>
        <v>2</v>
      </c>
      <c r="D248" s="589">
        <f t="shared" si="609"/>
        <v>3</v>
      </c>
      <c r="E248" s="589">
        <f t="shared" si="609"/>
        <v>4</v>
      </c>
      <c r="F248" s="589">
        <f t="shared" si="609"/>
        <v>5</v>
      </c>
      <c r="G248" s="589">
        <f t="shared" si="609"/>
        <v>6</v>
      </c>
      <c r="H248" s="589">
        <f t="shared" si="609"/>
        <v>7</v>
      </c>
      <c r="I248" s="589">
        <f t="shared" si="609"/>
        <v>8</v>
      </c>
      <c r="J248" s="589">
        <f t="shared" si="609"/>
        <v>9</v>
      </c>
      <c r="K248" s="589">
        <f t="shared" si="609"/>
        <v>10</v>
      </c>
      <c r="L248" s="589">
        <f t="shared" si="609"/>
        <v>11</v>
      </c>
      <c r="M248" s="589">
        <f t="shared" si="609"/>
        <v>12</v>
      </c>
      <c r="N248" s="589">
        <f t="shared" si="609"/>
        <v>13</v>
      </c>
      <c r="O248" s="589">
        <f t="shared" si="609"/>
        <v>14</v>
      </c>
      <c r="P248" s="589">
        <f t="shared" si="609"/>
        <v>15</v>
      </c>
      <c r="Q248" s="589">
        <f t="shared" si="609"/>
        <v>16</v>
      </c>
      <c r="R248" s="589">
        <f t="shared" si="609"/>
        <v>17</v>
      </c>
      <c r="S248" s="589">
        <f t="shared" si="609"/>
        <v>18</v>
      </c>
      <c r="T248" s="589">
        <f t="shared" si="609"/>
        <v>19</v>
      </c>
      <c r="U248" s="589">
        <f t="shared" si="609"/>
        <v>20</v>
      </c>
      <c r="V248" s="589">
        <f t="shared" si="609"/>
        <v>21</v>
      </c>
      <c r="W248" s="589">
        <f t="shared" si="609"/>
        <v>22</v>
      </c>
      <c r="X248" s="589">
        <f t="shared" si="609"/>
        <v>23</v>
      </c>
      <c r="Y248" s="589">
        <f t="shared" si="609"/>
        <v>24</v>
      </c>
      <c r="Z248" s="589">
        <f t="shared" si="609"/>
        <v>25</v>
      </c>
      <c r="AA248" s="589">
        <f t="shared" si="609"/>
        <v>26</v>
      </c>
      <c r="AB248" s="589">
        <f t="shared" si="609"/>
        <v>27</v>
      </c>
      <c r="AC248" s="589">
        <f t="shared" si="609"/>
        <v>28</v>
      </c>
      <c r="AD248" s="589">
        <f t="shared" si="609"/>
        <v>29</v>
      </c>
      <c r="AE248" s="589">
        <f t="shared" si="609"/>
        <v>30</v>
      </c>
    </row>
    <row r="249" spans="1:31">
      <c r="A249" s="590" t="s">
        <v>687</v>
      </c>
      <c r="B249" s="584">
        <f>B240</f>
        <v>0</v>
      </c>
      <c r="C249" s="584">
        <f t="shared" ref="C249:AE249" si="610">B250</f>
        <v>0</v>
      </c>
      <c r="D249" s="584">
        <f t="shared" si="610"/>
        <v>0</v>
      </c>
      <c r="E249" s="584">
        <f t="shared" si="610"/>
        <v>0</v>
      </c>
      <c r="F249" s="584">
        <f t="shared" si="610"/>
        <v>0</v>
      </c>
      <c r="G249" s="584">
        <f t="shared" si="610"/>
        <v>0</v>
      </c>
      <c r="H249" s="584">
        <f t="shared" si="610"/>
        <v>0</v>
      </c>
      <c r="I249" s="584">
        <f t="shared" si="610"/>
        <v>0</v>
      </c>
      <c r="J249" s="584">
        <f t="shared" si="610"/>
        <v>0</v>
      </c>
      <c r="K249" s="584">
        <f t="shared" si="610"/>
        <v>0</v>
      </c>
      <c r="L249" s="584">
        <f t="shared" si="610"/>
        <v>0</v>
      </c>
      <c r="M249" s="584">
        <f t="shared" si="610"/>
        <v>0</v>
      </c>
      <c r="N249" s="584">
        <f t="shared" si="610"/>
        <v>0</v>
      </c>
      <c r="O249" s="584">
        <f t="shared" si="610"/>
        <v>0</v>
      </c>
      <c r="P249" s="584">
        <f t="shared" si="610"/>
        <v>0</v>
      </c>
      <c r="Q249" s="584">
        <f t="shared" si="610"/>
        <v>0</v>
      </c>
      <c r="R249" s="584">
        <f t="shared" si="610"/>
        <v>0</v>
      </c>
      <c r="S249" s="584">
        <f t="shared" si="610"/>
        <v>0</v>
      </c>
      <c r="T249" s="584">
        <f t="shared" si="610"/>
        <v>0</v>
      </c>
      <c r="U249" s="584">
        <f t="shared" si="610"/>
        <v>0</v>
      </c>
      <c r="V249" s="584">
        <f t="shared" si="610"/>
        <v>0</v>
      </c>
      <c r="W249" s="584">
        <f t="shared" si="610"/>
        <v>0</v>
      </c>
      <c r="X249" s="584">
        <f t="shared" si="610"/>
        <v>0</v>
      </c>
      <c r="Y249" s="584">
        <f t="shared" si="610"/>
        <v>0</v>
      </c>
      <c r="Z249" s="584">
        <f t="shared" si="610"/>
        <v>0</v>
      </c>
      <c r="AA249" s="584">
        <f t="shared" si="610"/>
        <v>0</v>
      </c>
      <c r="AB249" s="584">
        <f t="shared" si="610"/>
        <v>0</v>
      </c>
      <c r="AC249" s="584">
        <f t="shared" si="610"/>
        <v>0</v>
      </c>
      <c r="AD249" s="584">
        <f t="shared" si="610"/>
        <v>0</v>
      </c>
      <c r="AE249" s="584">
        <f t="shared" si="610"/>
        <v>0</v>
      </c>
    </row>
    <row r="250" spans="1:31">
      <c r="A250" s="590" t="s">
        <v>688</v>
      </c>
      <c r="B250" s="584">
        <f>B249+B252</f>
        <v>0</v>
      </c>
      <c r="C250" s="584">
        <f t="shared" ref="C250:AE250" si="611">C249+C252</f>
        <v>0</v>
      </c>
      <c r="D250" s="584">
        <f t="shared" si="611"/>
        <v>0</v>
      </c>
      <c r="E250" s="584">
        <f t="shared" si="611"/>
        <v>0</v>
      </c>
      <c r="F250" s="584">
        <f t="shared" si="611"/>
        <v>0</v>
      </c>
      <c r="G250" s="584">
        <f t="shared" si="611"/>
        <v>0</v>
      </c>
      <c r="H250" s="584">
        <f t="shared" si="611"/>
        <v>0</v>
      </c>
      <c r="I250" s="584">
        <f t="shared" si="611"/>
        <v>0</v>
      </c>
      <c r="J250" s="584">
        <f t="shared" si="611"/>
        <v>0</v>
      </c>
      <c r="K250" s="584">
        <f t="shared" si="611"/>
        <v>0</v>
      </c>
      <c r="L250" s="584">
        <f t="shared" si="611"/>
        <v>0</v>
      </c>
      <c r="M250" s="584">
        <f t="shared" si="611"/>
        <v>0</v>
      </c>
      <c r="N250" s="584">
        <f t="shared" si="611"/>
        <v>0</v>
      </c>
      <c r="O250" s="584">
        <f t="shared" si="611"/>
        <v>0</v>
      </c>
      <c r="P250" s="584">
        <f t="shared" si="611"/>
        <v>0</v>
      </c>
      <c r="Q250" s="584">
        <f t="shared" si="611"/>
        <v>0</v>
      </c>
      <c r="R250" s="584">
        <f t="shared" si="611"/>
        <v>0</v>
      </c>
      <c r="S250" s="584">
        <f t="shared" si="611"/>
        <v>0</v>
      </c>
      <c r="T250" s="584">
        <f t="shared" si="611"/>
        <v>0</v>
      </c>
      <c r="U250" s="584">
        <f t="shared" si="611"/>
        <v>0</v>
      </c>
      <c r="V250" s="584">
        <f t="shared" si="611"/>
        <v>0</v>
      </c>
      <c r="W250" s="584">
        <f t="shared" si="611"/>
        <v>0</v>
      </c>
      <c r="X250" s="584">
        <f t="shared" si="611"/>
        <v>0</v>
      </c>
      <c r="Y250" s="584">
        <f t="shared" si="611"/>
        <v>0</v>
      </c>
      <c r="Z250" s="584">
        <f t="shared" si="611"/>
        <v>0</v>
      </c>
      <c r="AA250" s="584">
        <f t="shared" si="611"/>
        <v>0</v>
      </c>
      <c r="AB250" s="584">
        <f t="shared" si="611"/>
        <v>0</v>
      </c>
      <c r="AC250" s="584">
        <f t="shared" si="611"/>
        <v>0</v>
      </c>
      <c r="AD250" s="584">
        <f t="shared" si="611"/>
        <v>0</v>
      </c>
      <c r="AE250" s="584">
        <f t="shared" si="611"/>
        <v>0</v>
      </c>
    </row>
    <row r="251" spans="1:31">
      <c r="A251" s="590" t="s">
        <v>680</v>
      </c>
      <c r="B251" s="584">
        <f>IF($B243=B248,B249,0)</f>
        <v>0</v>
      </c>
      <c r="C251" s="584">
        <f t="shared" ref="C251:AE251" si="612">IF($B243=C248,C249,0)</f>
        <v>0</v>
      </c>
      <c r="D251" s="584">
        <f t="shared" si="612"/>
        <v>0</v>
      </c>
      <c r="E251" s="584">
        <f t="shared" si="612"/>
        <v>0</v>
      </c>
      <c r="F251" s="584">
        <f t="shared" si="612"/>
        <v>0</v>
      </c>
      <c r="G251" s="584">
        <f t="shared" si="612"/>
        <v>0</v>
      </c>
      <c r="H251" s="584">
        <f t="shared" si="612"/>
        <v>0</v>
      </c>
      <c r="I251" s="584">
        <f t="shared" si="612"/>
        <v>0</v>
      </c>
      <c r="J251" s="584">
        <f t="shared" si="612"/>
        <v>0</v>
      </c>
      <c r="K251" s="584">
        <f t="shared" si="612"/>
        <v>0</v>
      </c>
      <c r="L251" s="584">
        <f t="shared" si="612"/>
        <v>0</v>
      </c>
      <c r="M251" s="584">
        <f t="shared" si="612"/>
        <v>0</v>
      </c>
      <c r="N251" s="584">
        <f t="shared" si="612"/>
        <v>0</v>
      </c>
      <c r="O251" s="584">
        <f t="shared" si="612"/>
        <v>0</v>
      </c>
      <c r="P251" s="584">
        <f t="shared" si="612"/>
        <v>0</v>
      </c>
      <c r="Q251" s="584">
        <f t="shared" si="612"/>
        <v>0</v>
      </c>
      <c r="R251" s="584">
        <f t="shared" si="612"/>
        <v>0</v>
      </c>
      <c r="S251" s="584">
        <f t="shared" si="612"/>
        <v>0</v>
      </c>
      <c r="T251" s="584">
        <f t="shared" si="612"/>
        <v>0</v>
      </c>
      <c r="U251" s="584">
        <f t="shared" si="612"/>
        <v>0</v>
      </c>
      <c r="V251" s="584">
        <f t="shared" si="612"/>
        <v>0</v>
      </c>
      <c r="W251" s="584">
        <f t="shared" si="612"/>
        <v>0</v>
      </c>
      <c r="X251" s="584">
        <f t="shared" si="612"/>
        <v>0</v>
      </c>
      <c r="Y251" s="584">
        <f t="shared" si="612"/>
        <v>0</v>
      </c>
      <c r="Z251" s="584">
        <f t="shared" si="612"/>
        <v>0</v>
      </c>
      <c r="AA251" s="584">
        <f t="shared" si="612"/>
        <v>0</v>
      </c>
      <c r="AB251" s="584">
        <f t="shared" si="612"/>
        <v>0</v>
      </c>
      <c r="AC251" s="584">
        <f t="shared" si="612"/>
        <v>0</v>
      </c>
      <c r="AD251" s="584">
        <f t="shared" si="612"/>
        <v>0</v>
      </c>
      <c r="AE251" s="584">
        <f t="shared" si="612"/>
        <v>0</v>
      </c>
    </row>
    <row r="252" spans="1:31">
      <c r="A252" s="590" t="s">
        <v>681</v>
      </c>
      <c r="B252" s="584">
        <f>B249*$B$171</f>
        <v>0</v>
      </c>
      <c r="C252" s="584">
        <f t="shared" ref="C252:AE252" si="613">C249*$B$171</f>
        <v>0</v>
      </c>
      <c r="D252" s="584">
        <f t="shared" si="613"/>
        <v>0</v>
      </c>
      <c r="E252" s="584">
        <f t="shared" si="613"/>
        <v>0</v>
      </c>
      <c r="F252" s="584">
        <f t="shared" si="613"/>
        <v>0</v>
      </c>
      <c r="G252" s="584">
        <f t="shared" si="613"/>
        <v>0</v>
      </c>
      <c r="H252" s="584">
        <f t="shared" si="613"/>
        <v>0</v>
      </c>
      <c r="I252" s="584">
        <f t="shared" si="613"/>
        <v>0</v>
      </c>
      <c r="J252" s="584">
        <f t="shared" si="613"/>
        <v>0</v>
      </c>
      <c r="K252" s="584">
        <f t="shared" si="613"/>
        <v>0</v>
      </c>
      <c r="L252" s="584">
        <f t="shared" si="613"/>
        <v>0</v>
      </c>
      <c r="M252" s="584">
        <f t="shared" si="613"/>
        <v>0</v>
      </c>
      <c r="N252" s="584">
        <f t="shared" si="613"/>
        <v>0</v>
      </c>
      <c r="O252" s="584">
        <f t="shared" si="613"/>
        <v>0</v>
      </c>
      <c r="P252" s="584">
        <f t="shared" si="613"/>
        <v>0</v>
      </c>
      <c r="Q252" s="584">
        <f t="shared" si="613"/>
        <v>0</v>
      </c>
      <c r="R252" s="584">
        <f t="shared" si="613"/>
        <v>0</v>
      </c>
      <c r="S252" s="584">
        <f t="shared" si="613"/>
        <v>0</v>
      </c>
      <c r="T252" s="584">
        <f t="shared" si="613"/>
        <v>0</v>
      </c>
      <c r="U252" s="584">
        <f t="shared" si="613"/>
        <v>0</v>
      </c>
      <c r="V252" s="584">
        <f t="shared" si="613"/>
        <v>0</v>
      </c>
      <c r="W252" s="584">
        <f t="shared" si="613"/>
        <v>0</v>
      </c>
      <c r="X252" s="584">
        <f t="shared" si="613"/>
        <v>0</v>
      </c>
      <c r="Y252" s="584">
        <f t="shared" si="613"/>
        <v>0</v>
      </c>
      <c r="Z252" s="584">
        <f t="shared" si="613"/>
        <v>0</v>
      </c>
      <c r="AA252" s="584">
        <f t="shared" si="613"/>
        <v>0</v>
      </c>
      <c r="AB252" s="584">
        <f t="shared" si="613"/>
        <v>0</v>
      </c>
      <c r="AC252" s="584">
        <f t="shared" si="613"/>
        <v>0</v>
      </c>
      <c r="AD252" s="584">
        <f t="shared" si="613"/>
        <v>0</v>
      </c>
      <c r="AE252" s="584">
        <f t="shared" si="613"/>
        <v>0</v>
      </c>
    </row>
    <row r="253" spans="1:31">
      <c r="A253" s="590" t="s">
        <v>689</v>
      </c>
      <c r="B253" s="584">
        <f>B251+B252</f>
        <v>0</v>
      </c>
      <c r="C253" s="584">
        <f t="shared" ref="C253:AE253" si="614">C251+C252</f>
        <v>0</v>
      </c>
      <c r="D253" s="584">
        <f t="shared" si="614"/>
        <v>0</v>
      </c>
      <c r="E253" s="584">
        <f t="shared" si="614"/>
        <v>0</v>
      </c>
      <c r="F253" s="584">
        <f t="shared" si="614"/>
        <v>0</v>
      </c>
      <c r="G253" s="584">
        <f t="shared" si="614"/>
        <v>0</v>
      </c>
      <c r="H253" s="584">
        <f t="shared" si="614"/>
        <v>0</v>
      </c>
      <c r="I253" s="584">
        <f t="shared" si="614"/>
        <v>0</v>
      </c>
      <c r="J253" s="584">
        <f t="shared" si="614"/>
        <v>0</v>
      </c>
      <c r="K253" s="584">
        <f t="shared" si="614"/>
        <v>0</v>
      </c>
      <c r="L253" s="584">
        <f t="shared" si="614"/>
        <v>0</v>
      </c>
      <c r="M253" s="584">
        <f t="shared" si="614"/>
        <v>0</v>
      </c>
      <c r="N253" s="584">
        <f t="shared" si="614"/>
        <v>0</v>
      </c>
      <c r="O253" s="584">
        <f t="shared" si="614"/>
        <v>0</v>
      </c>
      <c r="P253" s="584">
        <f t="shared" si="614"/>
        <v>0</v>
      </c>
      <c r="Q253" s="584">
        <f t="shared" si="614"/>
        <v>0</v>
      </c>
      <c r="R253" s="584">
        <f t="shared" si="614"/>
        <v>0</v>
      </c>
      <c r="S253" s="584">
        <f t="shared" si="614"/>
        <v>0</v>
      </c>
      <c r="T253" s="584">
        <f t="shared" si="614"/>
        <v>0</v>
      </c>
      <c r="U253" s="584">
        <f t="shared" si="614"/>
        <v>0</v>
      </c>
      <c r="V253" s="584">
        <f t="shared" si="614"/>
        <v>0</v>
      </c>
      <c r="W253" s="584">
        <f t="shared" si="614"/>
        <v>0</v>
      </c>
      <c r="X253" s="584">
        <f t="shared" si="614"/>
        <v>0</v>
      </c>
      <c r="Y253" s="584">
        <f t="shared" si="614"/>
        <v>0</v>
      </c>
      <c r="Z253" s="584">
        <f t="shared" si="614"/>
        <v>0</v>
      </c>
      <c r="AA253" s="584">
        <f t="shared" si="614"/>
        <v>0</v>
      </c>
      <c r="AB253" s="584">
        <f t="shared" si="614"/>
        <v>0</v>
      </c>
      <c r="AC253" s="584">
        <f t="shared" si="614"/>
        <v>0</v>
      </c>
      <c r="AD253" s="584">
        <f t="shared" si="614"/>
        <v>0</v>
      </c>
      <c r="AE253" s="584">
        <f t="shared" si="614"/>
        <v>0</v>
      </c>
    </row>
    <row r="254" spans="1:31">
      <c r="A254" s="590"/>
    </row>
    <row r="256" spans="1:31">
      <c r="A256" s="592" t="str">
        <f>assumptions!A36</f>
        <v>Deferred Developer Fee</v>
      </c>
    </row>
    <row r="258" spans="1:31">
      <c r="A258" s="586" t="s">
        <v>680</v>
      </c>
      <c r="B258" s="584">
        <f>assumptions!B36</f>
        <v>0</v>
      </c>
    </row>
    <row r="259" spans="1:31">
      <c r="A259" s="586" t="s">
        <v>681</v>
      </c>
      <c r="B259" s="587">
        <f>assumptions!D36</f>
        <v>0</v>
      </c>
    </row>
    <row r="260" spans="1:31">
      <c r="A260" s="586" t="s">
        <v>682</v>
      </c>
      <c r="B260" s="584">
        <v>0</v>
      </c>
    </row>
    <row r="261" spans="1:31">
      <c r="A261" s="586" t="s">
        <v>683</v>
      </c>
      <c r="B261" s="584">
        <f>IF(assumptions!F36="deferred",0,assumptions!F36)</f>
        <v>0</v>
      </c>
    </row>
    <row r="262" spans="1:31">
      <c r="A262" s="586" t="s">
        <v>684</v>
      </c>
      <c r="B262" s="584">
        <f>IF(B261=0,0,PMT(B259/12,B260*12,-B258))</f>
        <v>0</v>
      </c>
    </row>
    <row r="263" spans="1:31">
      <c r="A263" s="586" t="s">
        <v>685</v>
      </c>
      <c r="B263" s="584">
        <f>B262*12</f>
        <v>0</v>
      </c>
    </row>
    <row r="265" spans="1:31">
      <c r="A265" s="588" t="s">
        <v>686</v>
      </c>
      <c r="B265" s="589">
        <v>1</v>
      </c>
      <c r="C265" s="589">
        <f t="shared" ref="C265:AE265" si="615">B265+1</f>
        <v>2</v>
      </c>
      <c r="D265" s="589">
        <f t="shared" si="615"/>
        <v>3</v>
      </c>
      <c r="E265" s="589">
        <f t="shared" si="615"/>
        <v>4</v>
      </c>
      <c r="F265" s="589">
        <f t="shared" si="615"/>
        <v>5</v>
      </c>
      <c r="G265" s="589">
        <f t="shared" si="615"/>
        <v>6</v>
      </c>
      <c r="H265" s="589">
        <f t="shared" si="615"/>
        <v>7</v>
      </c>
      <c r="I265" s="589">
        <f t="shared" si="615"/>
        <v>8</v>
      </c>
      <c r="J265" s="589">
        <f t="shared" si="615"/>
        <v>9</v>
      </c>
      <c r="K265" s="589">
        <f t="shared" si="615"/>
        <v>10</v>
      </c>
      <c r="L265" s="589">
        <f t="shared" si="615"/>
        <v>11</v>
      </c>
      <c r="M265" s="589">
        <f t="shared" si="615"/>
        <v>12</v>
      </c>
      <c r="N265" s="589">
        <f t="shared" si="615"/>
        <v>13</v>
      </c>
      <c r="O265" s="589">
        <f t="shared" si="615"/>
        <v>14</v>
      </c>
      <c r="P265" s="589">
        <f t="shared" si="615"/>
        <v>15</v>
      </c>
      <c r="Q265" s="589">
        <f t="shared" si="615"/>
        <v>16</v>
      </c>
      <c r="R265" s="589">
        <f t="shared" si="615"/>
        <v>17</v>
      </c>
      <c r="S265" s="589">
        <f t="shared" si="615"/>
        <v>18</v>
      </c>
      <c r="T265" s="589">
        <f t="shared" si="615"/>
        <v>19</v>
      </c>
      <c r="U265" s="589">
        <f t="shared" si="615"/>
        <v>20</v>
      </c>
      <c r="V265" s="589">
        <f t="shared" si="615"/>
        <v>21</v>
      </c>
      <c r="W265" s="589">
        <f t="shared" si="615"/>
        <v>22</v>
      </c>
      <c r="X265" s="589">
        <f t="shared" si="615"/>
        <v>23</v>
      </c>
      <c r="Y265" s="589">
        <f t="shared" si="615"/>
        <v>24</v>
      </c>
      <c r="Z265" s="589">
        <f t="shared" si="615"/>
        <v>25</v>
      </c>
      <c r="AA265" s="589">
        <f t="shared" si="615"/>
        <v>26</v>
      </c>
      <c r="AB265" s="589">
        <f t="shared" si="615"/>
        <v>27</v>
      </c>
      <c r="AC265" s="589">
        <f t="shared" si="615"/>
        <v>28</v>
      </c>
      <c r="AD265" s="589">
        <f t="shared" si="615"/>
        <v>29</v>
      </c>
      <c r="AE265" s="589">
        <f t="shared" si="615"/>
        <v>30</v>
      </c>
    </row>
    <row r="266" spans="1:31">
      <c r="A266" s="590" t="s">
        <v>687</v>
      </c>
      <c r="B266" s="584">
        <f>B258</f>
        <v>0</v>
      </c>
      <c r="C266" s="584">
        <f>B267</f>
        <v>0</v>
      </c>
      <c r="D266" s="584">
        <f t="shared" ref="D266:AE266" si="616">C267</f>
        <v>0</v>
      </c>
      <c r="E266" s="584">
        <f t="shared" si="616"/>
        <v>0</v>
      </c>
      <c r="F266" s="584">
        <f t="shared" si="616"/>
        <v>0</v>
      </c>
      <c r="G266" s="584">
        <f t="shared" si="616"/>
        <v>0</v>
      </c>
      <c r="H266" s="584">
        <f t="shared" si="616"/>
        <v>0</v>
      </c>
      <c r="I266" s="584">
        <f t="shared" si="616"/>
        <v>0</v>
      </c>
      <c r="J266" s="584">
        <f t="shared" si="616"/>
        <v>0</v>
      </c>
      <c r="K266" s="584">
        <f t="shared" si="616"/>
        <v>0</v>
      </c>
      <c r="L266" s="584">
        <f t="shared" si="616"/>
        <v>0</v>
      </c>
      <c r="M266" s="584">
        <f t="shared" si="616"/>
        <v>0</v>
      </c>
      <c r="N266" s="584">
        <f t="shared" si="616"/>
        <v>0</v>
      </c>
      <c r="O266" s="584">
        <f t="shared" si="616"/>
        <v>0</v>
      </c>
      <c r="P266" s="584">
        <f t="shared" si="616"/>
        <v>0</v>
      </c>
      <c r="Q266" s="584">
        <f t="shared" si="616"/>
        <v>0</v>
      </c>
      <c r="R266" s="584">
        <f t="shared" si="616"/>
        <v>0</v>
      </c>
      <c r="S266" s="584">
        <f t="shared" si="616"/>
        <v>0</v>
      </c>
      <c r="T266" s="584">
        <f t="shared" si="616"/>
        <v>0</v>
      </c>
      <c r="U266" s="584">
        <f t="shared" si="616"/>
        <v>0</v>
      </c>
      <c r="V266" s="584">
        <f t="shared" si="616"/>
        <v>0</v>
      </c>
      <c r="W266" s="584">
        <f t="shared" si="616"/>
        <v>0</v>
      </c>
      <c r="X266" s="584">
        <f t="shared" si="616"/>
        <v>0</v>
      </c>
      <c r="Y266" s="584">
        <f t="shared" si="616"/>
        <v>0</v>
      </c>
      <c r="Z266" s="584">
        <f t="shared" si="616"/>
        <v>0</v>
      </c>
      <c r="AA266" s="584">
        <f t="shared" si="616"/>
        <v>0</v>
      </c>
      <c r="AB266" s="584">
        <f t="shared" si="616"/>
        <v>0</v>
      </c>
      <c r="AC266" s="584">
        <f t="shared" si="616"/>
        <v>0</v>
      </c>
      <c r="AD266" s="584">
        <f t="shared" si="616"/>
        <v>0</v>
      </c>
      <c r="AE266" s="584">
        <f t="shared" si="616"/>
        <v>0</v>
      </c>
    </row>
    <row r="267" spans="1:31">
      <c r="A267" s="590" t="s">
        <v>688</v>
      </c>
      <c r="B267" s="584">
        <f>PV($B$259/12,12*($B$261-B$265),-$B$262)</f>
        <v>0</v>
      </c>
      <c r="C267" s="584">
        <f>IF($B$261&lt;=C265,0,PV($B$259/12,12*($B$260-C$265),-$B$262))</f>
        <v>0</v>
      </c>
      <c r="D267" s="584">
        <f t="shared" ref="D267:AE267" si="617">IF($B$261&lt;=D265,0,PV($B$259/12,12*($B$260-D$265),-$B$262))</f>
        <v>0</v>
      </c>
      <c r="E267" s="584">
        <f t="shared" si="617"/>
        <v>0</v>
      </c>
      <c r="F267" s="584">
        <f t="shared" si="617"/>
        <v>0</v>
      </c>
      <c r="G267" s="584">
        <f t="shared" si="617"/>
        <v>0</v>
      </c>
      <c r="H267" s="584">
        <f t="shared" si="617"/>
        <v>0</v>
      </c>
      <c r="I267" s="584">
        <f t="shared" si="617"/>
        <v>0</v>
      </c>
      <c r="J267" s="584">
        <f t="shared" si="617"/>
        <v>0</v>
      </c>
      <c r="K267" s="584">
        <f t="shared" si="617"/>
        <v>0</v>
      </c>
      <c r="L267" s="584">
        <f t="shared" si="617"/>
        <v>0</v>
      </c>
      <c r="M267" s="584">
        <f t="shared" si="617"/>
        <v>0</v>
      </c>
      <c r="N267" s="584">
        <f t="shared" si="617"/>
        <v>0</v>
      </c>
      <c r="O267" s="584">
        <f t="shared" si="617"/>
        <v>0</v>
      </c>
      <c r="P267" s="584">
        <f t="shared" si="617"/>
        <v>0</v>
      </c>
      <c r="Q267" s="584">
        <f t="shared" si="617"/>
        <v>0</v>
      </c>
      <c r="R267" s="584">
        <f t="shared" si="617"/>
        <v>0</v>
      </c>
      <c r="S267" s="584">
        <f t="shared" si="617"/>
        <v>0</v>
      </c>
      <c r="T267" s="584">
        <f t="shared" si="617"/>
        <v>0</v>
      </c>
      <c r="U267" s="584">
        <f t="shared" si="617"/>
        <v>0</v>
      </c>
      <c r="V267" s="584">
        <f t="shared" si="617"/>
        <v>0</v>
      </c>
      <c r="W267" s="584">
        <f t="shared" si="617"/>
        <v>0</v>
      </c>
      <c r="X267" s="584">
        <f t="shared" si="617"/>
        <v>0</v>
      </c>
      <c r="Y267" s="584">
        <f t="shared" si="617"/>
        <v>0</v>
      </c>
      <c r="Z267" s="584">
        <f t="shared" si="617"/>
        <v>0</v>
      </c>
      <c r="AA267" s="584">
        <f t="shared" si="617"/>
        <v>0</v>
      </c>
      <c r="AB267" s="584">
        <f t="shared" si="617"/>
        <v>0</v>
      </c>
      <c r="AC267" s="584">
        <f t="shared" si="617"/>
        <v>0</v>
      </c>
      <c r="AD267" s="584">
        <f t="shared" si="617"/>
        <v>0</v>
      </c>
      <c r="AE267" s="584">
        <f t="shared" si="617"/>
        <v>0</v>
      </c>
    </row>
    <row r="268" spans="1:31">
      <c r="A268" s="590" t="s">
        <v>680</v>
      </c>
      <c r="B268" s="584">
        <f>B266-B267</f>
        <v>0</v>
      </c>
      <c r="C268" s="584">
        <f>IF($B$261&lt;=C265,C266,C266-PV($B$259/12,12*($B$260-C$265),-$B$262))</f>
        <v>0</v>
      </c>
      <c r="D268" s="584">
        <f t="shared" ref="D268:AE268" si="618">IF($B$261&lt;=D265,D266,D266-PV($B$259/12,12*($B$260-D$265),-$B$262))</f>
        <v>0</v>
      </c>
      <c r="E268" s="584">
        <f t="shared" si="618"/>
        <v>0</v>
      </c>
      <c r="F268" s="584">
        <f t="shared" si="618"/>
        <v>0</v>
      </c>
      <c r="G268" s="584">
        <f t="shared" si="618"/>
        <v>0</v>
      </c>
      <c r="H268" s="584">
        <f t="shared" si="618"/>
        <v>0</v>
      </c>
      <c r="I268" s="584">
        <f t="shared" si="618"/>
        <v>0</v>
      </c>
      <c r="J268" s="584">
        <f t="shared" si="618"/>
        <v>0</v>
      </c>
      <c r="K268" s="584">
        <f t="shared" si="618"/>
        <v>0</v>
      </c>
      <c r="L268" s="584">
        <f t="shared" si="618"/>
        <v>0</v>
      </c>
      <c r="M268" s="584">
        <f t="shared" si="618"/>
        <v>0</v>
      </c>
      <c r="N268" s="584">
        <f t="shared" si="618"/>
        <v>0</v>
      </c>
      <c r="O268" s="584">
        <f t="shared" si="618"/>
        <v>0</v>
      </c>
      <c r="P268" s="584">
        <f t="shared" si="618"/>
        <v>0</v>
      </c>
      <c r="Q268" s="584">
        <f t="shared" si="618"/>
        <v>0</v>
      </c>
      <c r="R268" s="584">
        <f t="shared" si="618"/>
        <v>0</v>
      </c>
      <c r="S268" s="584">
        <f t="shared" si="618"/>
        <v>0</v>
      </c>
      <c r="T268" s="584">
        <f t="shared" si="618"/>
        <v>0</v>
      </c>
      <c r="U268" s="584">
        <f t="shared" si="618"/>
        <v>0</v>
      </c>
      <c r="V268" s="584">
        <f t="shared" si="618"/>
        <v>0</v>
      </c>
      <c r="W268" s="584">
        <f t="shared" si="618"/>
        <v>0</v>
      </c>
      <c r="X268" s="584">
        <f t="shared" si="618"/>
        <v>0</v>
      </c>
      <c r="Y268" s="584">
        <f t="shared" si="618"/>
        <v>0</v>
      </c>
      <c r="Z268" s="584">
        <f t="shared" si="618"/>
        <v>0</v>
      </c>
      <c r="AA268" s="584">
        <f t="shared" si="618"/>
        <v>0</v>
      </c>
      <c r="AB268" s="584">
        <f t="shared" si="618"/>
        <v>0</v>
      </c>
      <c r="AC268" s="584">
        <f t="shared" si="618"/>
        <v>0</v>
      </c>
      <c r="AD268" s="584">
        <f t="shared" si="618"/>
        <v>0</v>
      </c>
      <c r="AE268" s="584">
        <f t="shared" si="618"/>
        <v>0</v>
      </c>
    </row>
    <row r="269" spans="1:31">
      <c r="A269" s="590" t="s">
        <v>681</v>
      </c>
      <c r="B269" s="584">
        <f>$B$263-B268</f>
        <v>0</v>
      </c>
      <c r="C269" s="584">
        <f>IF($B$261&gt;=C265,$B$263-(C266-PV($B$259/12,12*($B$260-C$265),-$B$262)),0)</f>
        <v>0</v>
      </c>
      <c r="D269" s="584">
        <f t="shared" ref="D269:AE269" si="619">IF($B$261&gt;=D265,$B$263-(D266-PV($B$259/12,12*($B$260-D$265),-$B$262)),0)</f>
        <v>0</v>
      </c>
      <c r="E269" s="584">
        <f t="shared" si="619"/>
        <v>0</v>
      </c>
      <c r="F269" s="584">
        <f t="shared" si="619"/>
        <v>0</v>
      </c>
      <c r="G269" s="584">
        <f t="shared" si="619"/>
        <v>0</v>
      </c>
      <c r="H269" s="584">
        <f t="shared" si="619"/>
        <v>0</v>
      </c>
      <c r="I269" s="584">
        <f t="shared" si="619"/>
        <v>0</v>
      </c>
      <c r="J269" s="584">
        <f t="shared" si="619"/>
        <v>0</v>
      </c>
      <c r="K269" s="584">
        <f t="shared" si="619"/>
        <v>0</v>
      </c>
      <c r="L269" s="584">
        <f t="shared" si="619"/>
        <v>0</v>
      </c>
      <c r="M269" s="584">
        <f t="shared" si="619"/>
        <v>0</v>
      </c>
      <c r="N269" s="584">
        <f t="shared" si="619"/>
        <v>0</v>
      </c>
      <c r="O269" s="584">
        <f t="shared" si="619"/>
        <v>0</v>
      </c>
      <c r="P269" s="584">
        <f t="shared" si="619"/>
        <v>0</v>
      </c>
      <c r="Q269" s="584">
        <f t="shared" si="619"/>
        <v>0</v>
      </c>
      <c r="R269" s="584">
        <f t="shared" si="619"/>
        <v>0</v>
      </c>
      <c r="S269" s="584">
        <f t="shared" si="619"/>
        <v>0</v>
      </c>
      <c r="T269" s="584">
        <f t="shared" si="619"/>
        <v>0</v>
      </c>
      <c r="U269" s="584">
        <f t="shared" si="619"/>
        <v>0</v>
      </c>
      <c r="V269" s="584">
        <f t="shared" si="619"/>
        <v>0</v>
      </c>
      <c r="W269" s="584">
        <f t="shared" si="619"/>
        <v>0</v>
      </c>
      <c r="X269" s="584">
        <f t="shared" si="619"/>
        <v>0</v>
      </c>
      <c r="Y269" s="584">
        <f t="shared" si="619"/>
        <v>0</v>
      </c>
      <c r="Z269" s="584">
        <f t="shared" si="619"/>
        <v>0</v>
      </c>
      <c r="AA269" s="584">
        <f t="shared" si="619"/>
        <v>0</v>
      </c>
      <c r="AB269" s="584">
        <f t="shared" si="619"/>
        <v>0</v>
      </c>
      <c r="AC269" s="584">
        <f t="shared" si="619"/>
        <v>0</v>
      </c>
      <c r="AD269" s="584">
        <f t="shared" si="619"/>
        <v>0</v>
      </c>
      <c r="AE269" s="584">
        <f t="shared" si="619"/>
        <v>0</v>
      </c>
    </row>
    <row r="270" spans="1:31">
      <c r="A270" s="590" t="s">
        <v>689</v>
      </c>
      <c r="B270" s="584">
        <f>B268+B269</f>
        <v>0</v>
      </c>
      <c r="C270" s="584">
        <f>C268+C269</f>
        <v>0</v>
      </c>
      <c r="D270" s="584">
        <f t="shared" ref="D270:AE270" si="620">D268+D269</f>
        <v>0</v>
      </c>
      <c r="E270" s="584">
        <f t="shared" si="620"/>
        <v>0</v>
      </c>
      <c r="F270" s="584">
        <f t="shared" si="620"/>
        <v>0</v>
      </c>
      <c r="G270" s="584">
        <f t="shared" si="620"/>
        <v>0</v>
      </c>
      <c r="H270" s="584">
        <f t="shared" si="620"/>
        <v>0</v>
      </c>
      <c r="I270" s="584">
        <f t="shared" si="620"/>
        <v>0</v>
      </c>
      <c r="J270" s="584">
        <f t="shared" si="620"/>
        <v>0</v>
      </c>
      <c r="K270" s="584">
        <f t="shared" si="620"/>
        <v>0</v>
      </c>
      <c r="L270" s="584">
        <f t="shared" si="620"/>
        <v>0</v>
      </c>
      <c r="M270" s="584">
        <f t="shared" si="620"/>
        <v>0</v>
      </c>
      <c r="N270" s="584">
        <f t="shared" si="620"/>
        <v>0</v>
      </c>
      <c r="O270" s="584">
        <f t="shared" si="620"/>
        <v>0</v>
      </c>
      <c r="P270" s="584">
        <f t="shared" si="620"/>
        <v>0</v>
      </c>
      <c r="Q270" s="584">
        <f t="shared" si="620"/>
        <v>0</v>
      </c>
      <c r="R270" s="584">
        <f t="shared" si="620"/>
        <v>0</v>
      </c>
      <c r="S270" s="584">
        <f t="shared" si="620"/>
        <v>0</v>
      </c>
      <c r="T270" s="584">
        <f t="shared" si="620"/>
        <v>0</v>
      </c>
      <c r="U270" s="584">
        <f t="shared" si="620"/>
        <v>0</v>
      </c>
      <c r="V270" s="584">
        <f t="shared" si="620"/>
        <v>0</v>
      </c>
      <c r="W270" s="584">
        <f t="shared" si="620"/>
        <v>0</v>
      </c>
      <c r="X270" s="584">
        <f t="shared" si="620"/>
        <v>0</v>
      </c>
      <c r="Y270" s="584">
        <f t="shared" si="620"/>
        <v>0</v>
      </c>
      <c r="Z270" s="584">
        <f t="shared" si="620"/>
        <v>0</v>
      </c>
      <c r="AA270" s="584">
        <f t="shared" si="620"/>
        <v>0</v>
      </c>
      <c r="AB270" s="584">
        <f t="shared" si="620"/>
        <v>0</v>
      </c>
      <c r="AC270" s="584">
        <f t="shared" si="620"/>
        <v>0</v>
      </c>
      <c r="AD270" s="584">
        <f t="shared" si="620"/>
        <v>0</v>
      </c>
      <c r="AE270" s="584">
        <f t="shared" si="620"/>
        <v>0</v>
      </c>
    </row>
    <row r="271" spans="1:31">
      <c r="A271" s="590"/>
    </row>
    <row r="272" spans="1:31">
      <c r="A272" s="590"/>
    </row>
    <row r="273" spans="1:31" outlineLevel="1">
      <c r="A273" s="585" t="str">
        <f>assumptions!A37</f>
        <v>[Additional Field - Specify] (Non-Amortizing)</v>
      </c>
    </row>
    <row r="274" spans="1:31" outlineLevel="1">
      <c r="A274" s="590"/>
    </row>
    <row r="275" spans="1:31" outlineLevel="1">
      <c r="A275" s="586" t="s">
        <v>680</v>
      </c>
      <c r="B275" s="584">
        <f>assumptions!B37</f>
        <v>0</v>
      </c>
    </row>
    <row r="276" spans="1:31" outlineLevel="1">
      <c r="A276" s="586" t="s">
        <v>681</v>
      </c>
      <c r="B276" s="134">
        <f>assumptions!D37</f>
        <v>0</v>
      </c>
    </row>
    <row r="277" spans="1:31" outlineLevel="1">
      <c r="A277" s="586" t="s">
        <v>683</v>
      </c>
      <c r="B277" s="584">
        <f>IF(assumptions!F37="deferred",0,assumptions!F37)</f>
        <v>0</v>
      </c>
    </row>
    <row r="278" spans="1:31" outlineLevel="1">
      <c r="A278" s="586" t="s">
        <v>684</v>
      </c>
      <c r="B278" s="584">
        <f>B275*(B276/12)</f>
        <v>0</v>
      </c>
    </row>
    <row r="279" spans="1:31" outlineLevel="1">
      <c r="A279" s="586" t="s">
        <v>685</v>
      </c>
      <c r="B279" s="584">
        <f>B278*12</f>
        <v>0</v>
      </c>
    </row>
    <row r="280" spans="1:31" outlineLevel="1">
      <c r="A280" s="590"/>
    </row>
    <row r="281" spans="1:31" outlineLevel="1">
      <c r="A281" s="588" t="s">
        <v>686</v>
      </c>
      <c r="B281" s="589">
        <v>1</v>
      </c>
      <c r="C281" s="589">
        <f t="shared" ref="C281" si="621">B281+1</f>
        <v>2</v>
      </c>
      <c r="D281" s="589">
        <f t="shared" ref="D281" si="622">C281+1</f>
        <v>3</v>
      </c>
      <c r="E281" s="589">
        <f t="shared" ref="E281" si="623">D281+1</f>
        <v>4</v>
      </c>
      <c r="F281" s="589">
        <f t="shared" ref="F281" si="624">E281+1</f>
        <v>5</v>
      </c>
      <c r="G281" s="589">
        <f t="shared" ref="G281" si="625">F281+1</f>
        <v>6</v>
      </c>
      <c r="H281" s="589">
        <f t="shared" ref="H281" si="626">G281+1</f>
        <v>7</v>
      </c>
      <c r="I281" s="589">
        <f t="shared" ref="I281" si="627">H281+1</f>
        <v>8</v>
      </c>
      <c r="J281" s="589">
        <f t="shared" ref="J281" si="628">I281+1</f>
        <v>9</v>
      </c>
      <c r="K281" s="589">
        <f t="shared" ref="K281" si="629">J281+1</f>
        <v>10</v>
      </c>
      <c r="L281" s="589">
        <f t="shared" ref="L281" si="630">K281+1</f>
        <v>11</v>
      </c>
      <c r="M281" s="589">
        <f t="shared" ref="M281" si="631">L281+1</f>
        <v>12</v>
      </c>
      <c r="N281" s="589">
        <f t="shared" ref="N281" si="632">M281+1</f>
        <v>13</v>
      </c>
      <c r="O281" s="589">
        <f t="shared" ref="O281" si="633">N281+1</f>
        <v>14</v>
      </c>
      <c r="P281" s="589">
        <f t="shared" ref="P281" si="634">O281+1</f>
        <v>15</v>
      </c>
      <c r="Q281" s="589">
        <f t="shared" ref="Q281" si="635">P281+1</f>
        <v>16</v>
      </c>
      <c r="R281" s="589">
        <f t="shared" ref="R281" si="636">Q281+1</f>
        <v>17</v>
      </c>
      <c r="S281" s="589">
        <f t="shared" ref="S281" si="637">R281+1</f>
        <v>18</v>
      </c>
      <c r="T281" s="589">
        <f t="shared" ref="T281" si="638">S281+1</f>
        <v>19</v>
      </c>
      <c r="U281" s="589">
        <f t="shared" ref="U281" si="639">T281+1</f>
        <v>20</v>
      </c>
      <c r="V281" s="589">
        <f t="shared" ref="V281" si="640">U281+1</f>
        <v>21</v>
      </c>
      <c r="W281" s="589">
        <f t="shared" ref="W281" si="641">V281+1</f>
        <v>22</v>
      </c>
      <c r="X281" s="589">
        <f t="shared" ref="X281" si="642">W281+1</f>
        <v>23</v>
      </c>
      <c r="Y281" s="589">
        <f t="shared" ref="Y281" si="643">X281+1</f>
        <v>24</v>
      </c>
      <c r="Z281" s="589">
        <f t="shared" ref="Z281" si="644">Y281+1</f>
        <v>25</v>
      </c>
      <c r="AA281" s="589">
        <f t="shared" ref="AA281" si="645">Z281+1</f>
        <v>26</v>
      </c>
      <c r="AB281" s="589">
        <f t="shared" ref="AB281" si="646">AA281+1</f>
        <v>27</v>
      </c>
      <c r="AC281" s="589">
        <f t="shared" ref="AC281" si="647">AB281+1</f>
        <v>28</v>
      </c>
      <c r="AD281" s="589">
        <f t="shared" ref="AD281" si="648">AC281+1</f>
        <v>29</v>
      </c>
      <c r="AE281" s="589">
        <f t="shared" ref="AE281" si="649">AD281+1</f>
        <v>30</v>
      </c>
    </row>
    <row r="282" spans="1:31" outlineLevel="1">
      <c r="A282" s="590" t="s">
        <v>687</v>
      </c>
      <c r="B282" s="584">
        <f>B275</f>
        <v>0</v>
      </c>
      <c r="C282" s="584">
        <f t="shared" ref="C282" si="650">B283</f>
        <v>0</v>
      </c>
      <c r="D282" s="584">
        <f t="shared" ref="D282" si="651">C283</f>
        <v>0</v>
      </c>
      <c r="E282" s="584">
        <f t="shared" ref="E282" si="652">D283</f>
        <v>0</v>
      </c>
      <c r="F282" s="584">
        <f t="shared" ref="F282" si="653">E283</f>
        <v>0</v>
      </c>
      <c r="G282" s="584">
        <f t="shared" ref="G282" si="654">F283</f>
        <v>0</v>
      </c>
      <c r="H282" s="584">
        <f t="shared" ref="H282" si="655">G283</f>
        <v>0</v>
      </c>
      <c r="I282" s="584">
        <f t="shared" ref="I282" si="656">H283</f>
        <v>0</v>
      </c>
      <c r="J282" s="584">
        <f t="shared" ref="J282" si="657">I283</f>
        <v>0</v>
      </c>
      <c r="K282" s="584">
        <f t="shared" ref="K282" si="658">J283</f>
        <v>0</v>
      </c>
      <c r="L282" s="584">
        <f t="shared" ref="L282" si="659">K283</f>
        <v>0</v>
      </c>
      <c r="M282" s="584">
        <f t="shared" ref="M282" si="660">L283</f>
        <v>0</v>
      </c>
      <c r="N282" s="584">
        <f t="shared" ref="N282" si="661">M283</f>
        <v>0</v>
      </c>
      <c r="O282" s="584">
        <f t="shared" ref="O282" si="662">N283</f>
        <v>0</v>
      </c>
      <c r="P282" s="584">
        <f t="shared" ref="P282" si="663">O283</f>
        <v>0</v>
      </c>
      <c r="Q282" s="584">
        <f t="shared" ref="Q282" si="664">P283</f>
        <v>0</v>
      </c>
      <c r="R282" s="584">
        <f t="shared" ref="R282" si="665">Q283</f>
        <v>0</v>
      </c>
      <c r="S282" s="584">
        <f t="shared" ref="S282" si="666">R283</f>
        <v>0</v>
      </c>
      <c r="T282" s="584">
        <f t="shared" ref="T282" si="667">S283</f>
        <v>0</v>
      </c>
      <c r="U282" s="584">
        <f t="shared" ref="U282" si="668">T283</f>
        <v>0</v>
      </c>
      <c r="V282" s="584">
        <f t="shared" ref="V282" si="669">U283</f>
        <v>0</v>
      </c>
      <c r="W282" s="584">
        <f t="shared" ref="W282" si="670">V283</f>
        <v>0</v>
      </c>
      <c r="X282" s="584">
        <f t="shared" ref="X282" si="671">W283</f>
        <v>0</v>
      </c>
      <c r="Y282" s="584">
        <f t="shared" ref="Y282" si="672">X283</f>
        <v>0</v>
      </c>
      <c r="Z282" s="584">
        <f t="shared" ref="Z282" si="673">Y283</f>
        <v>0</v>
      </c>
      <c r="AA282" s="584">
        <f t="shared" ref="AA282" si="674">Z283</f>
        <v>0</v>
      </c>
      <c r="AB282" s="584">
        <f t="shared" ref="AB282" si="675">AA283</f>
        <v>0</v>
      </c>
      <c r="AC282" s="584">
        <f t="shared" ref="AC282" si="676">AB283</f>
        <v>0</v>
      </c>
      <c r="AD282" s="584">
        <f t="shared" ref="AD282" si="677">AC283</f>
        <v>0</v>
      </c>
      <c r="AE282" s="584">
        <f t="shared" ref="AE282" si="678">AD283</f>
        <v>0</v>
      </c>
    </row>
    <row r="283" spans="1:31" outlineLevel="1">
      <c r="A283" s="590" t="s">
        <v>688</v>
      </c>
      <c r="B283" s="584">
        <f>B282-B284</f>
        <v>0</v>
      </c>
      <c r="C283" s="584">
        <f t="shared" ref="C283:AE283" si="679">C282-C284</f>
        <v>0</v>
      </c>
      <c r="D283" s="584">
        <f t="shared" si="679"/>
        <v>0</v>
      </c>
      <c r="E283" s="584">
        <f t="shared" si="679"/>
        <v>0</v>
      </c>
      <c r="F283" s="584">
        <f t="shared" si="679"/>
        <v>0</v>
      </c>
      <c r="G283" s="584">
        <f t="shared" si="679"/>
        <v>0</v>
      </c>
      <c r="H283" s="584">
        <f t="shared" si="679"/>
        <v>0</v>
      </c>
      <c r="I283" s="584">
        <f t="shared" si="679"/>
        <v>0</v>
      </c>
      <c r="J283" s="584">
        <f t="shared" si="679"/>
        <v>0</v>
      </c>
      <c r="K283" s="584">
        <f t="shared" si="679"/>
        <v>0</v>
      </c>
      <c r="L283" s="584">
        <f t="shared" si="679"/>
        <v>0</v>
      </c>
      <c r="M283" s="584">
        <f t="shared" si="679"/>
        <v>0</v>
      </c>
      <c r="N283" s="584">
        <f t="shared" si="679"/>
        <v>0</v>
      </c>
      <c r="O283" s="584">
        <f t="shared" si="679"/>
        <v>0</v>
      </c>
      <c r="P283" s="584">
        <f t="shared" si="679"/>
        <v>0</v>
      </c>
      <c r="Q283" s="584">
        <f t="shared" si="679"/>
        <v>0</v>
      </c>
      <c r="R283" s="584">
        <f t="shared" si="679"/>
        <v>0</v>
      </c>
      <c r="S283" s="584">
        <f t="shared" si="679"/>
        <v>0</v>
      </c>
      <c r="T283" s="584">
        <f t="shared" si="679"/>
        <v>0</v>
      </c>
      <c r="U283" s="584">
        <f t="shared" si="679"/>
        <v>0</v>
      </c>
      <c r="V283" s="584">
        <f t="shared" si="679"/>
        <v>0</v>
      </c>
      <c r="W283" s="584">
        <f t="shared" si="679"/>
        <v>0</v>
      </c>
      <c r="X283" s="584">
        <f t="shared" si="679"/>
        <v>0</v>
      </c>
      <c r="Y283" s="584">
        <f t="shared" si="679"/>
        <v>0</v>
      </c>
      <c r="Z283" s="584">
        <f t="shared" si="679"/>
        <v>0</v>
      </c>
      <c r="AA283" s="584">
        <f t="shared" si="679"/>
        <v>0</v>
      </c>
      <c r="AB283" s="584">
        <f t="shared" si="679"/>
        <v>0</v>
      </c>
      <c r="AC283" s="584">
        <f t="shared" si="679"/>
        <v>0</v>
      </c>
      <c r="AD283" s="584">
        <f t="shared" si="679"/>
        <v>0</v>
      </c>
      <c r="AE283" s="584">
        <f t="shared" si="679"/>
        <v>0</v>
      </c>
    </row>
    <row r="284" spans="1:31" outlineLevel="1">
      <c r="A284" s="590" t="s">
        <v>680</v>
      </c>
      <c r="B284" s="584">
        <f t="shared" ref="B284:AE284" si="680">IF($B277=B281,B282,0)</f>
        <v>0</v>
      </c>
      <c r="C284" s="584">
        <f t="shared" si="680"/>
        <v>0</v>
      </c>
      <c r="D284" s="584">
        <f t="shared" si="680"/>
        <v>0</v>
      </c>
      <c r="E284" s="584">
        <f t="shared" si="680"/>
        <v>0</v>
      </c>
      <c r="F284" s="584">
        <f t="shared" si="680"/>
        <v>0</v>
      </c>
      <c r="G284" s="584">
        <f t="shared" si="680"/>
        <v>0</v>
      </c>
      <c r="H284" s="584">
        <f t="shared" si="680"/>
        <v>0</v>
      </c>
      <c r="I284" s="584">
        <f t="shared" si="680"/>
        <v>0</v>
      </c>
      <c r="J284" s="584">
        <f t="shared" si="680"/>
        <v>0</v>
      </c>
      <c r="K284" s="584">
        <f t="shared" si="680"/>
        <v>0</v>
      </c>
      <c r="L284" s="584">
        <f t="shared" si="680"/>
        <v>0</v>
      </c>
      <c r="M284" s="584">
        <f t="shared" si="680"/>
        <v>0</v>
      </c>
      <c r="N284" s="584">
        <f t="shared" si="680"/>
        <v>0</v>
      </c>
      <c r="O284" s="584">
        <f t="shared" si="680"/>
        <v>0</v>
      </c>
      <c r="P284" s="584">
        <f t="shared" si="680"/>
        <v>0</v>
      </c>
      <c r="Q284" s="584">
        <f t="shared" si="680"/>
        <v>0</v>
      </c>
      <c r="R284" s="584">
        <f t="shared" si="680"/>
        <v>0</v>
      </c>
      <c r="S284" s="584">
        <f t="shared" si="680"/>
        <v>0</v>
      </c>
      <c r="T284" s="584">
        <f t="shared" si="680"/>
        <v>0</v>
      </c>
      <c r="U284" s="584">
        <f t="shared" si="680"/>
        <v>0</v>
      </c>
      <c r="V284" s="584">
        <f t="shared" si="680"/>
        <v>0</v>
      </c>
      <c r="W284" s="584">
        <f t="shared" si="680"/>
        <v>0</v>
      </c>
      <c r="X284" s="584">
        <f t="shared" si="680"/>
        <v>0</v>
      </c>
      <c r="Y284" s="584">
        <f t="shared" si="680"/>
        <v>0</v>
      </c>
      <c r="Z284" s="584">
        <f t="shared" si="680"/>
        <v>0</v>
      </c>
      <c r="AA284" s="584">
        <f t="shared" si="680"/>
        <v>0</v>
      </c>
      <c r="AB284" s="584">
        <f t="shared" si="680"/>
        <v>0</v>
      </c>
      <c r="AC284" s="584">
        <f t="shared" si="680"/>
        <v>0</v>
      </c>
      <c r="AD284" s="584">
        <f t="shared" si="680"/>
        <v>0</v>
      </c>
      <c r="AE284" s="584">
        <f t="shared" si="680"/>
        <v>0</v>
      </c>
    </row>
    <row r="285" spans="1:31" outlineLevel="1">
      <c r="A285" s="590" t="s">
        <v>681</v>
      </c>
      <c r="B285" s="584">
        <f t="shared" ref="B285:AE285" si="681">IF($B277&gt;=B281,B282*$B276,0)</f>
        <v>0</v>
      </c>
      <c r="C285" s="584">
        <f t="shared" si="681"/>
        <v>0</v>
      </c>
      <c r="D285" s="584">
        <f t="shared" si="681"/>
        <v>0</v>
      </c>
      <c r="E285" s="584">
        <f t="shared" si="681"/>
        <v>0</v>
      </c>
      <c r="F285" s="584">
        <f t="shared" si="681"/>
        <v>0</v>
      </c>
      <c r="G285" s="584">
        <f t="shared" si="681"/>
        <v>0</v>
      </c>
      <c r="H285" s="584">
        <f t="shared" si="681"/>
        <v>0</v>
      </c>
      <c r="I285" s="584">
        <f t="shared" si="681"/>
        <v>0</v>
      </c>
      <c r="J285" s="584">
        <f t="shared" si="681"/>
        <v>0</v>
      </c>
      <c r="K285" s="584">
        <f t="shared" si="681"/>
        <v>0</v>
      </c>
      <c r="L285" s="584">
        <f t="shared" si="681"/>
        <v>0</v>
      </c>
      <c r="M285" s="584">
        <f t="shared" si="681"/>
        <v>0</v>
      </c>
      <c r="N285" s="584">
        <f t="shared" si="681"/>
        <v>0</v>
      </c>
      <c r="O285" s="584">
        <f t="shared" si="681"/>
        <v>0</v>
      </c>
      <c r="P285" s="584">
        <f t="shared" si="681"/>
        <v>0</v>
      </c>
      <c r="Q285" s="584">
        <f t="shared" si="681"/>
        <v>0</v>
      </c>
      <c r="R285" s="584">
        <f t="shared" si="681"/>
        <v>0</v>
      </c>
      <c r="S285" s="584">
        <f t="shared" si="681"/>
        <v>0</v>
      </c>
      <c r="T285" s="584">
        <f t="shared" si="681"/>
        <v>0</v>
      </c>
      <c r="U285" s="584">
        <f t="shared" si="681"/>
        <v>0</v>
      </c>
      <c r="V285" s="584">
        <f t="shared" si="681"/>
        <v>0</v>
      </c>
      <c r="W285" s="584">
        <f t="shared" si="681"/>
        <v>0</v>
      </c>
      <c r="X285" s="584">
        <f t="shared" si="681"/>
        <v>0</v>
      </c>
      <c r="Y285" s="584">
        <f t="shared" si="681"/>
        <v>0</v>
      </c>
      <c r="Z285" s="584">
        <f t="shared" si="681"/>
        <v>0</v>
      </c>
      <c r="AA285" s="584">
        <f t="shared" si="681"/>
        <v>0</v>
      </c>
      <c r="AB285" s="584">
        <f t="shared" si="681"/>
        <v>0</v>
      </c>
      <c r="AC285" s="584">
        <f t="shared" si="681"/>
        <v>0</v>
      </c>
      <c r="AD285" s="584">
        <f t="shared" si="681"/>
        <v>0</v>
      </c>
      <c r="AE285" s="584">
        <f t="shared" si="681"/>
        <v>0</v>
      </c>
    </row>
    <row r="286" spans="1:31" outlineLevel="1">
      <c r="A286" s="590" t="s">
        <v>689</v>
      </c>
      <c r="B286" s="584">
        <f>B284+B285</f>
        <v>0</v>
      </c>
      <c r="C286" s="584">
        <f t="shared" ref="C286" si="682">C284+C285</f>
        <v>0</v>
      </c>
      <c r="D286" s="584">
        <f t="shared" ref="D286:AE286" si="683">D284+D285</f>
        <v>0</v>
      </c>
      <c r="E286" s="584">
        <f t="shared" si="683"/>
        <v>0</v>
      </c>
      <c r="F286" s="584">
        <f t="shared" si="683"/>
        <v>0</v>
      </c>
      <c r="G286" s="584">
        <f t="shared" si="683"/>
        <v>0</v>
      </c>
      <c r="H286" s="584">
        <f t="shared" si="683"/>
        <v>0</v>
      </c>
      <c r="I286" s="584">
        <f t="shared" si="683"/>
        <v>0</v>
      </c>
      <c r="J286" s="584">
        <f t="shared" si="683"/>
        <v>0</v>
      </c>
      <c r="K286" s="584">
        <f t="shared" si="683"/>
        <v>0</v>
      </c>
      <c r="L286" s="584">
        <f t="shared" si="683"/>
        <v>0</v>
      </c>
      <c r="M286" s="584">
        <f t="shared" si="683"/>
        <v>0</v>
      </c>
      <c r="N286" s="584">
        <f t="shared" si="683"/>
        <v>0</v>
      </c>
      <c r="O286" s="584">
        <f t="shared" si="683"/>
        <v>0</v>
      </c>
      <c r="P286" s="584">
        <f t="shared" si="683"/>
        <v>0</v>
      </c>
      <c r="Q286" s="584">
        <f t="shared" si="683"/>
        <v>0</v>
      </c>
      <c r="R286" s="584">
        <f t="shared" si="683"/>
        <v>0</v>
      </c>
      <c r="S286" s="584">
        <f t="shared" si="683"/>
        <v>0</v>
      </c>
      <c r="T286" s="584">
        <f t="shared" si="683"/>
        <v>0</v>
      </c>
      <c r="U286" s="584">
        <f t="shared" si="683"/>
        <v>0</v>
      </c>
      <c r="V286" s="584">
        <f t="shared" si="683"/>
        <v>0</v>
      </c>
      <c r="W286" s="584">
        <f t="shared" si="683"/>
        <v>0</v>
      </c>
      <c r="X286" s="584">
        <f t="shared" si="683"/>
        <v>0</v>
      </c>
      <c r="Y286" s="584">
        <f t="shared" si="683"/>
        <v>0</v>
      </c>
      <c r="Z286" s="584">
        <f t="shared" si="683"/>
        <v>0</v>
      </c>
      <c r="AA286" s="584">
        <f t="shared" si="683"/>
        <v>0</v>
      </c>
      <c r="AB286" s="584">
        <f t="shared" si="683"/>
        <v>0</v>
      </c>
      <c r="AC286" s="584">
        <f t="shared" si="683"/>
        <v>0</v>
      </c>
      <c r="AD286" s="584">
        <f t="shared" si="683"/>
        <v>0</v>
      </c>
      <c r="AE286" s="584">
        <f t="shared" si="683"/>
        <v>0</v>
      </c>
    </row>
    <row r="287" spans="1:31" outlineLevel="1">
      <c r="A287" s="590"/>
    </row>
    <row r="288" spans="1:31" outlineLevel="2">
      <c r="A288" s="585" t="str">
        <f>assumptions!A38</f>
        <v>[Additional Field - Specify] (Non-Amortizing)</v>
      </c>
    </row>
    <row r="289" spans="1:31" outlineLevel="2">
      <c r="A289" s="590"/>
    </row>
    <row r="290" spans="1:31" outlineLevel="2">
      <c r="A290" s="586" t="s">
        <v>680</v>
      </c>
      <c r="B290" s="584">
        <f>assumptions!B38</f>
        <v>0</v>
      </c>
    </row>
    <row r="291" spans="1:31" outlineLevel="2">
      <c r="A291" s="586" t="s">
        <v>681</v>
      </c>
      <c r="B291" s="134">
        <f>assumptions!D38</f>
        <v>0</v>
      </c>
    </row>
    <row r="292" spans="1:31" outlineLevel="2">
      <c r="A292" s="586" t="s">
        <v>683</v>
      </c>
      <c r="B292" s="584">
        <f>IF(assumptions!F38="deferred",0,assumptions!F38)</f>
        <v>0</v>
      </c>
    </row>
    <row r="293" spans="1:31" outlineLevel="2">
      <c r="A293" s="586" t="s">
        <v>684</v>
      </c>
      <c r="B293" s="584">
        <f>B290*(B291/12)</f>
        <v>0</v>
      </c>
    </row>
    <row r="294" spans="1:31" outlineLevel="2">
      <c r="A294" s="586" t="s">
        <v>685</v>
      </c>
      <c r="B294" s="584">
        <f>B293*12</f>
        <v>0</v>
      </c>
    </row>
    <row r="295" spans="1:31" outlineLevel="2">
      <c r="A295" s="590"/>
    </row>
    <row r="296" spans="1:31" outlineLevel="2">
      <c r="A296" s="588" t="s">
        <v>686</v>
      </c>
      <c r="B296" s="589">
        <v>1</v>
      </c>
      <c r="C296" s="589">
        <f t="shared" ref="C296" si="684">B296+1</f>
        <v>2</v>
      </c>
      <c r="D296" s="589">
        <f t="shared" ref="D296" si="685">C296+1</f>
        <v>3</v>
      </c>
      <c r="E296" s="589">
        <f t="shared" ref="E296" si="686">D296+1</f>
        <v>4</v>
      </c>
      <c r="F296" s="589">
        <f t="shared" ref="F296" si="687">E296+1</f>
        <v>5</v>
      </c>
      <c r="G296" s="589">
        <f t="shared" ref="G296" si="688">F296+1</f>
        <v>6</v>
      </c>
      <c r="H296" s="589">
        <f t="shared" ref="H296" si="689">G296+1</f>
        <v>7</v>
      </c>
      <c r="I296" s="589">
        <f t="shared" ref="I296" si="690">H296+1</f>
        <v>8</v>
      </c>
      <c r="J296" s="589">
        <f t="shared" ref="J296" si="691">I296+1</f>
        <v>9</v>
      </c>
      <c r="K296" s="589">
        <f t="shared" ref="K296" si="692">J296+1</f>
        <v>10</v>
      </c>
      <c r="L296" s="589">
        <f t="shared" ref="L296" si="693">K296+1</f>
        <v>11</v>
      </c>
      <c r="M296" s="589">
        <f t="shared" ref="M296" si="694">L296+1</f>
        <v>12</v>
      </c>
      <c r="N296" s="589">
        <f t="shared" ref="N296" si="695">M296+1</f>
        <v>13</v>
      </c>
      <c r="O296" s="589">
        <f t="shared" ref="O296" si="696">N296+1</f>
        <v>14</v>
      </c>
      <c r="P296" s="589">
        <f t="shared" ref="P296" si="697">O296+1</f>
        <v>15</v>
      </c>
      <c r="Q296" s="589">
        <f t="shared" ref="Q296" si="698">P296+1</f>
        <v>16</v>
      </c>
      <c r="R296" s="589">
        <f t="shared" ref="R296" si="699">Q296+1</f>
        <v>17</v>
      </c>
      <c r="S296" s="589">
        <f t="shared" ref="S296" si="700">R296+1</f>
        <v>18</v>
      </c>
      <c r="T296" s="589">
        <f t="shared" ref="T296" si="701">S296+1</f>
        <v>19</v>
      </c>
      <c r="U296" s="589">
        <f t="shared" ref="U296" si="702">T296+1</f>
        <v>20</v>
      </c>
      <c r="V296" s="589">
        <f t="shared" ref="V296" si="703">U296+1</f>
        <v>21</v>
      </c>
      <c r="W296" s="589">
        <f t="shared" ref="W296" si="704">V296+1</f>
        <v>22</v>
      </c>
      <c r="X296" s="589">
        <f t="shared" ref="X296" si="705">W296+1</f>
        <v>23</v>
      </c>
      <c r="Y296" s="589">
        <f t="shared" ref="Y296" si="706">X296+1</f>
        <v>24</v>
      </c>
      <c r="Z296" s="589">
        <f t="shared" ref="Z296" si="707">Y296+1</f>
        <v>25</v>
      </c>
      <c r="AA296" s="589">
        <f t="shared" ref="AA296" si="708">Z296+1</f>
        <v>26</v>
      </c>
      <c r="AB296" s="589">
        <f t="shared" ref="AB296" si="709">AA296+1</f>
        <v>27</v>
      </c>
      <c r="AC296" s="589">
        <f t="shared" ref="AC296" si="710">AB296+1</f>
        <v>28</v>
      </c>
      <c r="AD296" s="589">
        <f t="shared" ref="AD296" si="711">AC296+1</f>
        <v>29</v>
      </c>
      <c r="AE296" s="589">
        <f t="shared" ref="AE296" si="712">AD296+1</f>
        <v>30</v>
      </c>
    </row>
    <row r="297" spans="1:31" outlineLevel="2">
      <c r="A297" s="590" t="s">
        <v>687</v>
      </c>
      <c r="B297" s="584">
        <f>B290</f>
        <v>0</v>
      </c>
      <c r="C297" s="584">
        <f>B298</f>
        <v>0</v>
      </c>
      <c r="D297" s="584">
        <f t="shared" ref="D297" si="713">C298</f>
        <v>0</v>
      </c>
      <c r="E297" s="584">
        <f t="shared" ref="E297" si="714">D298</f>
        <v>0</v>
      </c>
      <c r="F297" s="584">
        <f t="shared" ref="F297" si="715">E298</f>
        <v>0</v>
      </c>
      <c r="G297" s="584">
        <f t="shared" ref="G297" si="716">F298</f>
        <v>0</v>
      </c>
      <c r="H297" s="584">
        <f t="shared" ref="H297" si="717">G298</f>
        <v>0</v>
      </c>
      <c r="I297" s="584">
        <f t="shared" ref="I297" si="718">H298</f>
        <v>0</v>
      </c>
      <c r="J297" s="584">
        <f t="shared" ref="J297" si="719">I298</f>
        <v>0</v>
      </c>
      <c r="K297" s="584">
        <f t="shared" ref="K297" si="720">J298</f>
        <v>0</v>
      </c>
      <c r="L297" s="584">
        <f t="shared" ref="L297" si="721">K298</f>
        <v>0</v>
      </c>
      <c r="M297" s="584">
        <f t="shared" ref="M297" si="722">L298</f>
        <v>0</v>
      </c>
      <c r="N297" s="584">
        <f t="shared" ref="N297" si="723">M298</f>
        <v>0</v>
      </c>
      <c r="O297" s="584">
        <f t="shared" ref="O297" si="724">N298</f>
        <v>0</v>
      </c>
      <c r="P297" s="584">
        <f t="shared" ref="P297" si="725">O298</f>
        <v>0</v>
      </c>
      <c r="Q297" s="584">
        <f t="shared" ref="Q297" si="726">P298</f>
        <v>0</v>
      </c>
      <c r="R297" s="584">
        <f t="shared" ref="R297" si="727">Q298</f>
        <v>0</v>
      </c>
      <c r="S297" s="584">
        <f t="shared" ref="S297" si="728">R298</f>
        <v>0</v>
      </c>
      <c r="T297" s="584">
        <f t="shared" ref="T297" si="729">S298</f>
        <v>0</v>
      </c>
      <c r="U297" s="584">
        <f t="shared" ref="U297" si="730">T298</f>
        <v>0</v>
      </c>
      <c r="V297" s="584">
        <f t="shared" ref="V297" si="731">U298</f>
        <v>0</v>
      </c>
      <c r="W297" s="584">
        <f t="shared" ref="W297" si="732">V298</f>
        <v>0</v>
      </c>
      <c r="X297" s="584">
        <f t="shared" ref="X297" si="733">W298</f>
        <v>0</v>
      </c>
      <c r="Y297" s="584">
        <f t="shared" ref="Y297" si="734">X298</f>
        <v>0</v>
      </c>
      <c r="Z297" s="584">
        <f t="shared" ref="Z297" si="735">Y298</f>
        <v>0</v>
      </c>
      <c r="AA297" s="584">
        <f t="shared" ref="AA297" si="736">Z298</f>
        <v>0</v>
      </c>
      <c r="AB297" s="584">
        <f t="shared" ref="AB297" si="737">AA298</f>
        <v>0</v>
      </c>
      <c r="AC297" s="584">
        <f t="shared" ref="AC297" si="738">AB298</f>
        <v>0</v>
      </c>
      <c r="AD297" s="584">
        <f t="shared" ref="AD297" si="739">AC298</f>
        <v>0</v>
      </c>
      <c r="AE297" s="584">
        <f t="shared" ref="AE297" si="740">AD298</f>
        <v>0</v>
      </c>
    </row>
    <row r="298" spans="1:31" outlineLevel="2">
      <c r="A298" s="590" t="s">
        <v>688</v>
      </c>
      <c r="B298" s="584">
        <f>B297-B299</f>
        <v>0</v>
      </c>
      <c r="C298" s="584">
        <f t="shared" ref="C298" si="741">C297-C299</f>
        <v>0</v>
      </c>
      <c r="D298" s="584">
        <f t="shared" ref="D298" si="742">D297-D299</f>
        <v>0</v>
      </c>
      <c r="E298" s="584">
        <f>E297-E299</f>
        <v>0</v>
      </c>
      <c r="F298" s="584">
        <f t="shared" ref="F298" si="743">F297-F299</f>
        <v>0</v>
      </c>
      <c r="G298" s="584">
        <f t="shared" ref="G298" si="744">G297-G299</f>
        <v>0</v>
      </c>
      <c r="H298" s="584">
        <f t="shared" ref="H298" si="745">H297-H299</f>
        <v>0</v>
      </c>
      <c r="I298" s="584">
        <f t="shared" ref="I298" si="746">I297-I299</f>
        <v>0</v>
      </c>
      <c r="J298" s="584">
        <f t="shared" ref="J298" si="747">J297-J299</f>
        <v>0</v>
      </c>
      <c r="K298" s="584">
        <f t="shared" ref="K298" si="748">K297-K299</f>
        <v>0</v>
      </c>
      <c r="L298" s="584">
        <f t="shared" ref="L298" si="749">L297-L299</f>
        <v>0</v>
      </c>
      <c r="M298" s="584">
        <f t="shared" ref="M298" si="750">M297-M299</f>
        <v>0</v>
      </c>
      <c r="N298" s="584">
        <f t="shared" ref="N298" si="751">N297-N299</f>
        <v>0</v>
      </c>
      <c r="O298" s="584">
        <f t="shared" ref="O298" si="752">O297-O299</f>
        <v>0</v>
      </c>
      <c r="P298" s="584">
        <f t="shared" ref="P298" si="753">P297-P299</f>
        <v>0</v>
      </c>
      <c r="Q298" s="584">
        <f t="shared" ref="Q298" si="754">Q297-Q299</f>
        <v>0</v>
      </c>
      <c r="R298" s="584">
        <f t="shared" ref="R298" si="755">R297-R299</f>
        <v>0</v>
      </c>
      <c r="S298" s="584">
        <f t="shared" ref="S298" si="756">S297-S299</f>
        <v>0</v>
      </c>
      <c r="T298" s="584">
        <f t="shared" ref="T298" si="757">T297-T299</f>
        <v>0</v>
      </c>
      <c r="U298" s="584">
        <f t="shared" ref="U298" si="758">U297-U299</f>
        <v>0</v>
      </c>
      <c r="V298" s="584">
        <f t="shared" ref="V298" si="759">V297-V299</f>
        <v>0</v>
      </c>
      <c r="W298" s="584">
        <f t="shared" ref="W298" si="760">W297-W299</f>
        <v>0</v>
      </c>
      <c r="X298" s="584">
        <f t="shared" ref="X298" si="761">X297-X299</f>
        <v>0</v>
      </c>
      <c r="Y298" s="584">
        <f t="shared" ref="Y298" si="762">Y297-Y299</f>
        <v>0</v>
      </c>
      <c r="Z298" s="584">
        <f t="shared" ref="Z298" si="763">Z297-Z299</f>
        <v>0</v>
      </c>
      <c r="AA298" s="584">
        <f t="shared" ref="AA298" si="764">AA297-AA299</f>
        <v>0</v>
      </c>
      <c r="AB298" s="584">
        <f t="shared" ref="AB298" si="765">AB297-AB299</f>
        <v>0</v>
      </c>
      <c r="AC298" s="584">
        <f t="shared" ref="AC298" si="766">AC297-AC299</f>
        <v>0</v>
      </c>
      <c r="AD298" s="584">
        <f t="shared" ref="AD298" si="767">AD297-AD299</f>
        <v>0</v>
      </c>
      <c r="AE298" s="584">
        <f t="shared" ref="AE298" si="768">AE297-AE299</f>
        <v>0</v>
      </c>
    </row>
    <row r="299" spans="1:31" outlineLevel="2">
      <c r="A299" s="590" t="s">
        <v>680</v>
      </c>
      <c r="B299" s="584">
        <f t="shared" ref="B299:AE299" si="769">IF($B292=B296,B297,0)</f>
        <v>0</v>
      </c>
      <c r="C299" s="584">
        <f t="shared" si="769"/>
        <v>0</v>
      </c>
      <c r="D299" s="584">
        <f t="shared" si="769"/>
        <v>0</v>
      </c>
      <c r="E299" s="584">
        <f t="shared" si="769"/>
        <v>0</v>
      </c>
      <c r="F299" s="584">
        <f t="shared" si="769"/>
        <v>0</v>
      </c>
      <c r="G299" s="584">
        <f t="shared" si="769"/>
        <v>0</v>
      </c>
      <c r="H299" s="584">
        <f t="shared" si="769"/>
        <v>0</v>
      </c>
      <c r="I299" s="584">
        <f t="shared" si="769"/>
        <v>0</v>
      </c>
      <c r="J299" s="584">
        <f t="shared" si="769"/>
        <v>0</v>
      </c>
      <c r="K299" s="584">
        <f t="shared" si="769"/>
        <v>0</v>
      </c>
      <c r="L299" s="584">
        <f t="shared" si="769"/>
        <v>0</v>
      </c>
      <c r="M299" s="584">
        <f t="shared" si="769"/>
        <v>0</v>
      </c>
      <c r="N299" s="584">
        <f t="shared" si="769"/>
        <v>0</v>
      </c>
      <c r="O299" s="584">
        <f t="shared" si="769"/>
        <v>0</v>
      </c>
      <c r="P299" s="584">
        <f t="shared" si="769"/>
        <v>0</v>
      </c>
      <c r="Q299" s="584">
        <f t="shared" si="769"/>
        <v>0</v>
      </c>
      <c r="R299" s="584">
        <f t="shared" si="769"/>
        <v>0</v>
      </c>
      <c r="S299" s="584">
        <f t="shared" si="769"/>
        <v>0</v>
      </c>
      <c r="T299" s="584">
        <f t="shared" si="769"/>
        <v>0</v>
      </c>
      <c r="U299" s="584">
        <f t="shared" si="769"/>
        <v>0</v>
      </c>
      <c r="V299" s="584">
        <f t="shared" si="769"/>
        <v>0</v>
      </c>
      <c r="W299" s="584">
        <f t="shared" si="769"/>
        <v>0</v>
      </c>
      <c r="X299" s="584">
        <f t="shared" si="769"/>
        <v>0</v>
      </c>
      <c r="Y299" s="584">
        <f t="shared" si="769"/>
        <v>0</v>
      </c>
      <c r="Z299" s="584">
        <f t="shared" si="769"/>
        <v>0</v>
      </c>
      <c r="AA299" s="584">
        <f t="shared" si="769"/>
        <v>0</v>
      </c>
      <c r="AB299" s="584">
        <f t="shared" si="769"/>
        <v>0</v>
      </c>
      <c r="AC299" s="584">
        <f t="shared" si="769"/>
        <v>0</v>
      </c>
      <c r="AD299" s="584">
        <f t="shared" si="769"/>
        <v>0</v>
      </c>
      <c r="AE299" s="584">
        <f t="shared" si="769"/>
        <v>0</v>
      </c>
    </row>
    <row r="300" spans="1:31" outlineLevel="2">
      <c r="A300" s="590" t="s">
        <v>681</v>
      </c>
      <c r="B300" s="584">
        <f t="shared" ref="B300:AE300" si="770">IF($B292&gt;=B296,B297*$B291,0)</f>
        <v>0</v>
      </c>
      <c r="C300" s="584">
        <f t="shared" si="770"/>
        <v>0</v>
      </c>
      <c r="D300" s="584">
        <f t="shared" si="770"/>
        <v>0</v>
      </c>
      <c r="E300" s="584">
        <f t="shared" si="770"/>
        <v>0</v>
      </c>
      <c r="F300" s="584">
        <f t="shared" si="770"/>
        <v>0</v>
      </c>
      <c r="G300" s="584">
        <f t="shared" si="770"/>
        <v>0</v>
      </c>
      <c r="H300" s="584">
        <f t="shared" si="770"/>
        <v>0</v>
      </c>
      <c r="I300" s="584">
        <f t="shared" si="770"/>
        <v>0</v>
      </c>
      <c r="J300" s="584">
        <f t="shared" si="770"/>
        <v>0</v>
      </c>
      <c r="K300" s="584">
        <f t="shared" si="770"/>
        <v>0</v>
      </c>
      <c r="L300" s="584">
        <f t="shared" si="770"/>
        <v>0</v>
      </c>
      <c r="M300" s="584">
        <f t="shared" si="770"/>
        <v>0</v>
      </c>
      <c r="N300" s="584">
        <f t="shared" si="770"/>
        <v>0</v>
      </c>
      <c r="O300" s="584">
        <f t="shared" si="770"/>
        <v>0</v>
      </c>
      <c r="P300" s="584">
        <f t="shared" si="770"/>
        <v>0</v>
      </c>
      <c r="Q300" s="584">
        <f t="shared" si="770"/>
        <v>0</v>
      </c>
      <c r="R300" s="584">
        <f t="shared" si="770"/>
        <v>0</v>
      </c>
      <c r="S300" s="584">
        <f t="shared" si="770"/>
        <v>0</v>
      </c>
      <c r="T300" s="584">
        <f t="shared" si="770"/>
        <v>0</v>
      </c>
      <c r="U300" s="584">
        <f t="shared" si="770"/>
        <v>0</v>
      </c>
      <c r="V300" s="584">
        <f t="shared" si="770"/>
        <v>0</v>
      </c>
      <c r="W300" s="584">
        <f t="shared" si="770"/>
        <v>0</v>
      </c>
      <c r="X300" s="584">
        <f t="shared" si="770"/>
        <v>0</v>
      </c>
      <c r="Y300" s="584">
        <f t="shared" si="770"/>
        <v>0</v>
      </c>
      <c r="Z300" s="584">
        <f t="shared" si="770"/>
        <v>0</v>
      </c>
      <c r="AA300" s="584">
        <f t="shared" si="770"/>
        <v>0</v>
      </c>
      <c r="AB300" s="584">
        <f t="shared" si="770"/>
        <v>0</v>
      </c>
      <c r="AC300" s="584">
        <f t="shared" si="770"/>
        <v>0</v>
      </c>
      <c r="AD300" s="584">
        <f t="shared" si="770"/>
        <v>0</v>
      </c>
      <c r="AE300" s="584">
        <f t="shared" si="770"/>
        <v>0</v>
      </c>
    </row>
    <row r="301" spans="1:31" outlineLevel="2">
      <c r="A301" s="590" t="s">
        <v>689</v>
      </c>
      <c r="B301" s="584">
        <f>B299+B300</f>
        <v>0</v>
      </c>
      <c r="C301" s="584">
        <f t="shared" ref="C301:AE301" si="771">C299+C300</f>
        <v>0</v>
      </c>
      <c r="D301" s="584">
        <f t="shared" si="771"/>
        <v>0</v>
      </c>
      <c r="E301" s="584">
        <f>E299+E300</f>
        <v>0</v>
      </c>
      <c r="F301" s="584">
        <f t="shared" si="771"/>
        <v>0</v>
      </c>
      <c r="G301" s="584">
        <f t="shared" si="771"/>
        <v>0</v>
      </c>
      <c r="H301" s="584">
        <f t="shared" si="771"/>
        <v>0</v>
      </c>
      <c r="I301" s="584">
        <f t="shared" si="771"/>
        <v>0</v>
      </c>
      <c r="J301" s="584">
        <f t="shared" si="771"/>
        <v>0</v>
      </c>
      <c r="K301" s="584">
        <f t="shared" si="771"/>
        <v>0</v>
      </c>
      <c r="L301" s="584">
        <f t="shared" si="771"/>
        <v>0</v>
      </c>
      <c r="M301" s="584">
        <f t="shared" si="771"/>
        <v>0</v>
      </c>
      <c r="N301" s="584">
        <f t="shared" si="771"/>
        <v>0</v>
      </c>
      <c r="O301" s="584">
        <f t="shared" si="771"/>
        <v>0</v>
      </c>
      <c r="P301" s="584">
        <f t="shared" si="771"/>
        <v>0</v>
      </c>
      <c r="Q301" s="584">
        <f t="shared" si="771"/>
        <v>0</v>
      </c>
      <c r="R301" s="584">
        <f t="shared" si="771"/>
        <v>0</v>
      </c>
      <c r="S301" s="584">
        <f t="shared" si="771"/>
        <v>0</v>
      </c>
      <c r="T301" s="584">
        <f t="shared" si="771"/>
        <v>0</v>
      </c>
      <c r="U301" s="584">
        <f t="shared" si="771"/>
        <v>0</v>
      </c>
      <c r="V301" s="584">
        <f t="shared" si="771"/>
        <v>0</v>
      </c>
      <c r="W301" s="584">
        <f t="shared" si="771"/>
        <v>0</v>
      </c>
      <c r="X301" s="584">
        <f t="shared" si="771"/>
        <v>0</v>
      </c>
      <c r="Y301" s="584">
        <f t="shared" si="771"/>
        <v>0</v>
      </c>
      <c r="Z301" s="584">
        <f t="shared" si="771"/>
        <v>0</v>
      </c>
      <c r="AA301" s="584">
        <f t="shared" si="771"/>
        <v>0</v>
      </c>
      <c r="AB301" s="584">
        <f t="shared" si="771"/>
        <v>0</v>
      </c>
      <c r="AC301" s="584">
        <f t="shared" si="771"/>
        <v>0</v>
      </c>
      <c r="AD301" s="584">
        <f t="shared" si="771"/>
        <v>0</v>
      </c>
      <c r="AE301" s="584">
        <f t="shared" si="771"/>
        <v>0</v>
      </c>
    </row>
    <row r="302" spans="1:31" outlineLevel="1">
      <c r="A302" s="590"/>
    </row>
    <row r="303" spans="1:31" outlineLevel="2">
      <c r="A303" s="585" t="str">
        <f>assumptions!A39</f>
        <v>[Additional Field - Specify] (Non-Amortizing)</v>
      </c>
    </row>
    <row r="304" spans="1:31" outlineLevel="2">
      <c r="A304" s="590"/>
    </row>
    <row r="305" spans="1:31" outlineLevel="2">
      <c r="A305" s="586" t="s">
        <v>680</v>
      </c>
      <c r="B305" s="584">
        <f>assumptions!B39</f>
        <v>0</v>
      </c>
    </row>
    <row r="306" spans="1:31" outlineLevel="2">
      <c r="A306" s="586" t="s">
        <v>681</v>
      </c>
      <c r="B306" s="134">
        <f>assumptions!D39</f>
        <v>0</v>
      </c>
    </row>
    <row r="307" spans="1:31" outlineLevel="2">
      <c r="A307" s="586" t="s">
        <v>683</v>
      </c>
      <c r="B307" s="584">
        <f>IF(assumptions!F39="deferred",0,assumptions!F39)</f>
        <v>0</v>
      </c>
    </row>
    <row r="308" spans="1:31" outlineLevel="2">
      <c r="A308" s="586" t="s">
        <v>684</v>
      </c>
      <c r="B308" s="584">
        <f>B305*(B306/12)</f>
        <v>0</v>
      </c>
    </row>
    <row r="309" spans="1:31" outlineLevel="2">
      <c r="A309" s="586" t="s">
        <v>685</v>
      </c>
      <c r="B309" s="584">
        <f>B308*12</f>
        <v>0</v>
      </c>
    </row>
    <row r="310" spans="1:31" outlineLevel="2">
      <c r="A310" s="590"/>
    </row>
    <row r="311" spans="1:31" outlineLevel="2">
      <c r="A311" s="588" t="s">
        <v>686</v>
      </c>
      <c r="B311" s="589">
        <v>1</v>
      </c>
      <c r="C311" s="589">
        <f t="shared" ref="C311" si="772">B311+1</f>
        <v>2</v>
      </c>
      <c r="D311" s="589">
        <f t="shared" ref="D311" si="773">C311+1</f>
        <v>3</v>
      </c>
      <c r="E311" s="589">
        <f t="shared" ref="E311" si="774">D311+1</f>
        <v>4</v>
      </c>
      <c r="F311" s="589">
        <f t="shared" ref="F311" si="775">E311+1</f>
        <v>5</v>
      </c>
      <c r="G311" s="589">
        <f t="shared" ref="G311" si="776">F311+1</f>
        <v>6</v>
      </c>
      <c r="H311" s="589">
        <f t="shared" ref="H311" si="777">G311+1</f>
        <v>7</v>
      </c>
      <c r="I311" s="589">
        <f t="shared" ref="I311" si="778">H311+1</f>
        <v>8</v>
      </c>
      <c r="J311" s="589">
        <f t="shared" ref="J311" si="779">I311+1</f>
        <v>9</v>
      </c>
      <c r="K311" s="589">
        <f t="shared" ref="K311" si="780">J311+1</f>
        <v>10</v>
      </c>
      <c r="L311" s="589">
        <f t="shared" ref="L311" si="781">K311+1</f>
        <v>11</v>
      </c>
      <c r="M311" s="589">
        <f t="shared" ref="M311" si="782">L311+1</f>
        <v>12</v>
      </c>
      <c r="N311" s="589">
        <f t="shared" ref="N311" si="783">M311+1</f>
        <v>13</v>
      </c>
      <c r="O311" s="589">
        <f t="shared" ref="O311" si="784">N311+1</f>
        <v>14</v>
      </c>
      <c r="P311" s="589">
        <f t="shared" ref="P311" si="785">O311+1</f>
        <v>15</v>
      </c>
      <c r="Q311" s="589">
        <f t="shared" ref="Q311" si="786">P311+1</f>
        <v>16</v>
      </c>
      <c r="R311" s="589">
        <f t="shared" ref="R311" si="787">Q311+1</f>
        <v>17</v>
      </c>
      <c r="S311" s="589">
        <f t="shared" ref="S311" si="788">R311+1</f>
        <v>18</v>
      </c>
      <c r="T311" s="589">
        <f t="shared" ref="T311" si="789">S311+1</f>
        <v>19</v>
      </c>
      <c r="U311" s="589">
        <f t="shared" ref="U311" si="790">T311+1</f>
        <v>20</v>
      </c>
      <c r="V311" s="589">
        <f t="shared" ref="V311" si="791">U311+1</f>
        <v>21</v>
      </c>
      <c r="W311" s="589">
        <f t="shared" ref="W311" si="792">V311+1</f>
        <v>22</v>
      </c>
      <c r="X311" s="589">
        <f t="shared" ref="X311" si="793">W311+1</f>
        <v>23</v>
      </c>
      <c r="Y311" s="589">
        <f t="shared" ref="Y311" si="794">X311+1</f>
        <v>24</v>
      </c>
      <c r="Z311" s="589">
        <f t="shared" ref="Z311" si="795">Y311+1</f>
        <v>25</v>
      </c>
      <c r="AA311" s="589">
        <f t="shared" ref="AA311" si="796">Z311+1</f>
        <v>26</v>
      </c>
      <c r="AB311" s="589">
        <f t="shared" ref="AB311" si="797">AA311+1</f>
        <v>27</v>
      </c>
      <c r="AC311" s="589">
        <f t="shared" ref="AC311" si="798">AB311+1</f>
        <v>28</v>
      </c>
      <c r="AD311" s="589">
        <f t="shared" ref="AD311" si="799">AC311+1</f>
        <v>29</v>
      </c>
      <c r="AE311" s="589">
        <f t="shared" ref="AE311" si="800">AD311+1</f>
        <v>30</v>
      </c>
    </row>
    <row r="312" spans="1:31" outlineLevel="2">
      <c r="A312" s="590" t="s">
        <v>687</v>
      </c>
      <c r="B312" s="584">
        <f>B305</f>
        <v>0</v>
      </c>
      <c r="C312" s="584">
        <f>B313</f>
        <v>0</v>
      </c>
      <c r="D312" s="584">
        <f t="shared" ref="D312" si="801">C313</f>
        <v>0</v>
      </c>
      <c r="E312" s="584">
        <f t="shared" ref="E312" si="802">D313</f>
        <v>0</v>
      </c>
      <c r="F312" s="584">
        <f t="shared" ref="F312" si="803">E313</f>
        <v>0</v>
      </c>
      <c r="G312" s="584">
        <f t="shared" ref="G312" si="804">F313</f>
        <v>0</v>
      </c>
      <c r="H312" s="584">
        <f t="shared" ref="H312" si="805">G313</f>
        <v>0</v>
      </c>
      <c r="I312" s="584">
        <f t="shared" ref="I312" si="806">H313</f>
        <v>0</v>
      </c>
      <c r="J312" s="584">
        <f t="shared" ref="J312" si="807">I313</f>
        <v>0</v>
      </c>
      <c r="K312" s="584">
        <f t="shared" ref="K312" si="808">J313</f>
        <v>0</v>
      </c>
      <c r="L312" s="584">
        <f t="shared" ref="L312" si="809">K313</f>
        <v>0</v>
      </c>
      <c r="M312" s="584">
        <f t="shared" ref="M312" si="810">L313</f>
        <v>0</v>
      </c>
      <c r="N312" s="584">
        <f t="shared" ref="N312" si="811">M313</f>
        <v>0</v>
      </c>
      <c r="O312" s="584">
        <f t="shared" ref="O312" si="812">N313</f>
        <v>0</v>
      </c>
      <c r="P312" s="584">
        <f t="shared" ref="P312" si="813">O313</f>
        <v>0</v>
      </c>
      <c r="Q312" s="584">
        <f t="shared" ref="Q312" si="814">P313</f>
        <v>0</v>
      </c>
      <c r="R312" s="584">
        <f t="shared" ref="R312" si="815">Q313</f>
        <v>0</v>
      </c>
      <c r="S312" s="584">
        <f t="shared" ref="S312" si="816">R313</f>
        <v>0</v>
      </c>
      <c r="T312" s="584">
        <f t="shared" ref="T312" si="817">S313</f>
        <v>0</v>
      </c>
      <c r="U312" s="584">
        <f t="shared" ref="U312" si="818">T313</f>
        <v>0</v>
      </c>
      <c r="V312" s="584">
        <f t="shared" ref="V312" si="819">U313</f>
        <v>0</v>
      </c>
      <c r="W312" s="584">
        <f t="shared" ref="W312" si="820">V313</f>
        <v>0</v>
      </c>
      <c r="X312" s="584">
        <f t="shared" ref="X312" si="821">W313</f>
        <v>0</v>
      </c>
      <c r="Y312" s="584">
        <f t="shared" ref="Y312" si="822">X313</f>
        <v>0</v>
      </c>
      <c r="Z312" s="584">
        <f t="shared" ref="Z312" si="823">Y313</f>
        <v>0</v>
      </c>
      <c r="AA312" s="584">
        <f t="shared" ref="AA312" si="824">Z313</f>
        <v>0</v>
      </c>
      <c r="AB312" s="584">
        <f t="shared" ref="AB312" si="825">AA313</f>
        <v>0</v>
      </c>
      <c r="AC312" s="584">
        <f t="shared" ref="AC312" si="826">AB313</f>
        <v>0</v>
      </c>
      <c r="AD312" s="584">
        <f t="shared" ref="AD312" si="827">AC313</f>
        <v>0</v>
      </c>
      <c r="AE312" s="584">
        <f t="shared" ref="AE312" si="828">AD313</f>
        <v>0</v>
      </c>
    </row>
    <row r="313" spans="1:31" outlineLevel="2">
      <c r="A313" s="590" t="s">
        <v>688</v>
      </c>
      <c r="B313" s="584">
        <f>B312-B314</f>
        <v>0</v>
      </c>
      <c r="C313" s="584">
        <f t="shared" ref="C313" si="829">C312-C314</f>
        <v>0</v>
      </c>
      <c r="D313" s="584">
        <f t="shared" ref="D313" si="830">D312-D314</f>
        <v>0</v>
      </c>
      <c r="E313" s="584">
        <f>E312-E314</f>
        <v>0</v>
      </c>
      <c r="F313" s="584">
        <f t="shared" ref="F313" si="831">F312-F314</f>
        <v>0</v>
      </c>
      <c r="G313" s="584">
        <f t="shared" ref="G313" si="832">G312-G314</f>
        <v>0</v>
      </c>
      <c r="H313" s="584">
        <f t="shared" ref="H313" si="833">H312-H314</f>
        <v>0</v>
      </c>
      <c r="I313" s="584">
        <f t="shared" ref="I313" si="834">I312-I314</f>
        <v>0</v>
      </c>
      <c r="J313" s="584">
        <f t="shared" ref="J313" si="835">J312-J314</f>
        <v>0</v>
      </c>
      <c r="K313" s="584">
        <f t="shared" ref="K313" si="836">K312-K314</f>
        <v>0</v>
      </c>
      <c r="L313" s="584">
        <f t="shared" ref="L313" si="837">L312-L314</f>
        <v>0</v>
      </c>
      <c r="M313" s="584">
        <f t="shared" ref="M313" si="838">M312-M314</f>
        <v>0</v>
      </c>
      <c r="N313" s="584">
        <f t="shared" ref="N313" si="839">N312-N314</f>
        <v>0</v>
      </c>
      <c r="O313" s="584">
        <f t="shared" ref="O313" si="840">O312-O314</f>
        <v>0</v>
      </c>
      <c r="P313" s="584">
        <f t="shared" ref="P313" si="841">P312-P314</f>
        <v>0</v>
      </c>
      <c r="Q313" s="584">
        <f t="shared" ref="Q313" si="842">Q312-Q314</f>
        <v>0</v>
      </c>
      <c r="R313" s="584">
        <f t="shared" ref="R313" si="843">R312-R314</f>
        <v>0</v>
      </c>
      <c r="S313" s="584">
        <f t="shared" ref="S313" si="844">S312-S314</f>
        <v>0</v>
      </c>
      <c r="T313" s="584">
        <f t="shared" ref="T313" si="845">T312-T314</f>
        <v>0</v>
      </c>
      <c r="U313" s="584">
        <f t="shared" ref="U313" si="846">U312-U314</f>
        <v>0</v>
      </c>
      <c r="V313" s="584">
        <f t="shared" ref="V313" si="847">V312-V314</f>
        <v>0</v>
      </c>
      <c r="W313" s="584">
        <f t="shared" ref="W313" si="848">W312-W314</f>
        <v>0</v>
      </c>
      <c r="X313" s="584">
        <f t="shared" ref="X313" si="849">X312-X314</f>
        <v>0</v>
      </c>
      <c r="Y313" s="584">
        <f t="shared" ref="Y313" si="850">Y312-Y314</f>
        <v>0</v>
      </c>
      <c r="Z313" s="584">
        <f t="shared" ref="Z313" si="851">Z312-Z314</f>
        <v>0</v>
      </c>
      <c r="AA313" s="584">
        <f t="shared" ref="AA313" si="852">AA312-AA314</f>
        <v>0</v>
      </c>
      <c r="AB313" s="584">
        <f t="shared" ref="AB313" si="853">AB312-AB314</f>
        <v>0</v>
      </c>
      <c r="AC313" s="584">
        <f t="shared" ref="AC313" si="854">AC312-AC314</f>
        <v>0</v>
      </c>
      <c r="AD313" s="584">
        <f t="shared" ref="AD313" si="855">AD312-AD314</f>
        <v>0</v>
      </c>
      <c r="AE313" s="584">
        <f t="shared" ref="AE313" si="856">AE312-AE314</f>
        <v>0</v>
      </c>
    </row>
    <row r="314" spans="1:31" outlineLevel="2">
      <c r="A314" s="590" t="s">
        <v>680</v>
      </c>
      <c r="B314" s="584">
        <f>IF($B307=B311,B312,0)</f>
        <v>0</v>
      </c>
      <c r="C314" s="584">
        <f>IF($B307=C311,C312,0)</f>
        <v>0</v>
      </c>
      <c r="D314" s="584">
        <f>IF($B307=D311,D312,0)</f>
        <v>0</v>
      </c>
      <c r="E314" s="584">
        <f>IF($B307=E311,E312,0)</f>
        <v>0</v>
      </c>
      <c r="F314" s="584">
        <f t="shared" ref="F314:AE314" si="857">IF($B307=F311,F312,0)</f>
        <v>0</v>
      </c>
      <c r="G314" s="584">
        <f t="shared" si="857"/>
        <v>0</v>
      </c>
      <c r="H314" s="584">
        <f t="shared" si="857"/>
        <v>0</v>
      </c>
      <c r="I314" s="584">
        <f t="shared" si="857"/>
        <v>0</v>
      </c>
      <c r="J314" s="584">
        <f t="shared" si="857"/>
        <v>0</v>
      </c>
      <c r="K314" s="584">
        <f t="shared" si="857"/>
        <v>0</v>
      </c>
      <c r="L314" s="584">
        <f t="shared" si="857"/>
        <v>0</v>
      </c>
      <c r="M314" s="584">
        <f t="shared" si="857"/>
        <v>0</v>
      </c>
      <c r="N314" s="584">
        <f t="shared" si="857"/>
        <v>0</v>
      </c>
      <c r="O314" s="584">
        <f t="shared" si="857"/>
        <v>0</v>
      </c>
      <c r="P314" s="584">
        <f t="shared" si="857"/>
        <v>0</v>
      </c>
      <c r="Q314" s="584">
        <f t="shared" si="857"/>
        <v>0</v>
      </c>
      <c r="R314" s="584">
        <f t="shared" si="857"/>
        <v>0</v>
      </c>
      <c r="S314" s="584">
        <f t="shared" si="857"/>
        <v>0</v>
      </c>
      <c r="T314" s="584">
        <f t="shared" si="857"/>
        <v>0</v>
      </c>
      <c r="U314" s="584">
        <f t="shared" si="857"/>
        <v>0</v>
      </c>
      <c r="V314" s="584">
        <f t="shared" si="857"/>
        <v>0</v>
      </c>
      <c r="W314" s="584">
        <f t="shared" si="857"/>
        <v>0</v>
      </c>
      <c r="X314" s="584">
        <f t="shared" si="857"/>
        <v>0</v>
      </c>
      <c r="Y314" s="584">
        <f t="shared" si="857"/>
        <v>0</v>
      </c>
      <c r="Z314" s="584">
        <f t="shared" si="857"/>
        <v>0</v>
      </c>
      <c r="AA314" s="584">
        <f t="shared" si="857"/>
        <v>0</v>
      </c>
      <c r="AB314" s="584">
        <f t="shared" si="857"/>
        <v>0</v>
      </c>
      <c r="AC314" s="584">
        <f t="shared" si="857"/>
        <v>0</v>
      </c>
      <c r="AD314" s="584">
        <f t="shared" si="857"/>
        <v>0</v>
      </c>
      <c r="AE314" s="584">
        <f t="shared" si="857"/>
        <v>0</v>
      </c>
    </row>
    <row r="315" spans="1:31" outlineLevel="2">
      <c r="A315" s="590" t="s">
        <v>681</v>
      </c>
      <c r="B315" s="584">
        <f>IF($B307&gt;=B311,B312*$B306,0)</f>
        <v>0</v>
      </c>
      <c r="C315" s="584">
        <f t="shared" ref="C315:AE315" si="858">IF($B307&gt;=C311,C312*$B306,0)</f>
        <v>0</v>
      </c>
      <c r="D315" s="584">
        <f>IF($B307&gt;=D311,D312*$B306,0)</f>
        <v>0</v>
      </c>
      <c r="E315" s="584">
        <f t="shared" si="858"/>
        <v>0</v>
      </c>
      <c r="F315" s="584">
        <f t="shared" si="858"/>
        <v>0</v>
      </c>
      <c r="G315" s="584">
        <f t="shared" si="858"/>
        <v>0</v>
      </c>
      <c r="H315" s="584">
        <f t="shared" si="858"/>
        <v>0</v>
      </c>
      <c r="I315" s="584">
        <f t="shared" si="858"/>
        <v>0</v>
      </c>
      <c r="J315" s="584">
        <f>IF($B307&gt;=J311,J312*$B306,0)</f>
        <v>0</v>
      </c>
      <c r="K315" s="584">
        <f t="shared" si="858"/>
        <v>0</v>
      </c>
      <c r="L315" s="584">
        <f t="shared" si="858"/>
        <v>0</v>
      </c>
      <c r="M315" s="584">
        <f t="shared" si="858"/>
        <v>0</v>
      </c>
      <c r="N315" s="584">
        <f t="shared" si="858"/>
        <v>0</v>
      </c>
      <c r="O315" s="584">
        <f t="shared" si="858"/>
        <v>0</v>
      </c>
      <c r="P315" s="584">
        <f t="shared" si="858"/>
        <v>0</v>
      </c>
      <c r="Q315" s="584">
        <f t="shared" si="858"/>
        <v>0</v>
      </c>
      <c r="R315" s="584">
        <f t="shared" si="858"/>
        <v>0</v>
      </c>
      <c r="S315" s="584">
        <f t="shared" si="858"/>
        <v>0</v>
      </c>
      <c r="T315" s="584">
        <f t="shared" si="858"/>
        <v>0</v>
      </c>
      <c r="U315" s="584">
        <f t="shared" si="858"/>
        <v>0</v>
      </c>
      <c r="V315" s="584">
        <f t="shared" si="858"/>
        <v>0</v>
      </c>
      <c r="W315" s="584">
        <f t="shared" si="858"/>
        <v>0</v>
      </c>
      <c r="X315" s="584">
        <f t="shared" si="858"/>
        <v>0</v>
      </c>
      <c r="Y315" s="584">
        <f t="shared" si="858"/>
        <v>0</v>
      </c>
      <c r="Z315" s="584">
        <f t="shared" si="858"/>
        <v>0</v>
      </c>
      <c r="AA315" s="584">
        <f t="shared" si="858"/>
        <v>0</v>
      </c>
      <c r="AB315" s="584">
        <f t="shared" si="858"/>
        <v>0</v>
      </c>
      <c r="AC315" s="584">
        <f t="shared" si="858"/>
        <v>0</v>
      </c>
      <c r="AD315" s="584">
        <f t="shared" si="858"/>
        <v>0</v>
      </c>
      <c r="AE315" s="584">
        <f t="shared" si="858"/>
        <v>0</v>
      </c>
    </row>
    <row r="316" spans="1:31" outlineLevel="2">
      <c r="A316" s="590" t="s">
        <v>689</v>
      </c>
      <c r="B316" s="584">
        <f>B314+B315</f>
        <v>0</v>
      </c>
      <c r="C316" s="584">
        <f t="shared" ref="C316:D316" si="859">C314+C315</f>
        <v>0</v>
      </c>
      <c r="D316" s="584">
        <f t="shared" si="859"/>
        <v>0</v>
      </c>
      <c r="E316" s="584">
        <f>E314+E315</f>
        <v>0</v>
      </c>
      <c r="F316" s="584">
        <f t="shared" ref="F316:AE316" si="860">F314+F315</f>
        <v>0</v>
      </c>
      <c r="G316" s="584">
        <f t="shared" si="860"/>
        <v>0</v>
      </c>
      <c r="H316" s="584">
        <f t="shared" si="860"/>
        <v>0</v>
      </c>
      <c r="I316" s="584">
        <f t="shared" si="860"/>
        <v>0</v>
      </c>
      <c r="J316" s="584">
        <f t="shared" si="860"/>
        <v>0</v>
      </c>
      <c r="K316" s="584">
        <f t="shared" si="860"/>
        <v>0</v>
      </c>
      <c r="L316" s="584">
        <f t="shared" si="860"/>
        <v>0</v>
      </c>
      <c r="M316" s="584">
        <f t="shared" si="860"/>
        <v>0</v>
      </c>
      <c r="N316" s="584">
        <f t="shared" si="860"/>
        <v>0</v>
      </c>
      <c r="O316" s="584">
        <f t="shared" si="860"/>
        <v>0</v>
      </c>
      <c r="P316" s="584">
        <f t="shared" si="860"/>
        <v>0</v>
      </c>
      <c r="Q316" s="584">
        <f t="shared" si="860"/>
        <v>0</v>
      </c>
      <c r="R316" s="584">
        <f t="shared" si="860"/>
        <v>0</v>
      </c>
      <c r="S316" s="584">
        <f t="shared" si="860"/>
        <v>0</v>
      </c>
      <c r="T316" s="584">
        <f t="shared" si="860"/>
        <v>0</v>
      </c>
      <c r="U316" s="584">
        <f t="shared" si="860"/>
        <v>0</v>
      </c>
      <c r="V316" s="584">
        <f t="shared" si="860"/>
        <v>0</v>
      </c>
      <c r="W316" s="584">
        <f t="shared" si="860"/>
        <v>0</v>
      </c>
      <c r="X316" s="584">
        <f t="shared" si="860"/>
        <v>0</v>
      </c>
      <c r="Y316" s="584">
        <f t="shared" si="860"/>
        <v>0</v>
      </c>
      <c r="Z316" s="584">
        <f t="shared" si="860"/>
        <v>0</v>
      </c>
      <c r="AA316" s="584">
        <f t="shared" si="860"/>
        <v>0</v>
      </c>
      <c r="AB316" s="584">
        <f t="shared" si="860"/>
        <v>0</v>
      </c>
      <c r="AC316" s="584">
        <f t="shared" si="860"/>
        <v>0</v>
      </c>
      <c r="AD316" s="584">
        <f t="shared" si="860"/>
        <v>0</v>
      </c>
      <c r="AE316" s="584">
        <f t="shared" si="860"/>
        <v>0</v>
      </c>
    </row>
    <row r="317" spans="1:31" outlineLevel="1">
      <c r="A317" s="590"/>
    </row>
    <row r="318" spans="1:31" outlineLevel="2">
      <c r="A318" s="585" t="str">
        <f>assumptions!A40</f>
        <v>[Additional Field - Specify] (Non-Amortizing)</v>
      </c>
    </row>
    <row r="319" spans="1:31" outlineLevel="2">
      <c r="A319" s="590"/>
    </row>
    <row r="320" spans="1:31" outlineLevel="2">
      <c r="A320" s="586" t="s">
        <v>680</v>
      </c>
      <c r="B320" s="584">
        <f>assumptions!B40</f>
        <v>0</v>
      </c>
    </row>
    <row r="321" spans="1:31" outlineLevel="2">
      <c r="A321" s="586" t="s">
        <v>681</v>
      </c>
      <c r="B321" s="134">
        <f>assumptions!D40</f>
        <v>0</v>
      </c>
    </row>
    <row r="322" spans="1:31" outlineLevel="2">
      <c r="A322" s="586" t="s">
        <v>683</v>
      </c>
      <c r="B322" s="584">
        <f>IF(assumptions!F40="deferred",0,assumptions!F40)</f>
        <v>0</v>
      </c>
    </row>
    <row r="323" spans="1:31" outlineLevel="2">
      <c r="A323" s="586" t="s">
        <v>684</v>
      </c>
      <c r="B323" s="584">
        <f>B320*(B321/12)</f>
        <v>0</v>
      </c>
    </row>
    <row r="324" spans="1:31" outlineLevel="2">
      <c r="A324" s="586" t="s">
        <v>685</v>
      </c>
      <c r="B324" s="584">
        <f>B323*12</f>
        <v>0</v>
      </c>
    </row>
    <row r="325" spans="1:31" outlineLevel="2">
      <c r="A325" s="590"/>
    </row>
    <row r="326" spans="1:31" outlineLevel="2">
      <c r="A326" s="588" t="s">
        <v>686</v>
      </c>
      <c r="B326" s="589">
        <v>1</v>
      </c>
      <c r="C326" s="589">
        <f t="shared" ref="C326" si="861">B326+1</f>
        <v>2</v>
      </c>
      <c r="D326" s="589">
        <f t="shared" ref="D326" si="862">C326+1</f>
        <v>3</v>
      </c>
      <c r="E326" s="589">
        <f t="shared" ref="E326" si="863">D326+1</f>
        <v>4</v>
      </c>
      <c r="F326" s="589">
        <f t="shared" ref="F326" si="864">E326+1</f>
        <v>5</v>
      </c>
      <c r="G326" s="589">
        <f t="shared" ref="G326" si="865">F326+1</f>
        <v>6</v>
      </c>
      <c r="H326" s="589">
        <f t="shared" ref="H326" si="866">G326+1</f>
        <v>7</v>
      </c>
      <c r="I326" s="589">
        <f t="shared" ref="I326" si="867">H326+1</f>
        <v>8</v>
      </c>
      <c r="J326" s="589">
        <f t="shared" ref="J326" si="868">I326+1</f>
        <v>9</v>
      </c>
      <c r="K326" s="589">
        <f t="shared" ref="K326" si="869">J326+1</f>
        <v>10</v>
      </c>
      <c r="L326" s="589">
        <f t="shared" ref="L326" si="870">K326+1</f>
        <v>11</v>
      </c>
      <c r="M326" s="589">
        <f t="shared" ref="M326" si="871">L326+1</f>
        <v>12</v>
      </c>
      <c r="N326" s="589">
        <f t="shared" ref="N326" si="872">M326+1</f>
        <v>13</v>
      </c>
      <c r="O326" s="589">
        <f t="shared" ref="O326" si="873">N326+1</f>
        <v>14</v>
      </c>
      <c r="P326" s="589">
        <f t="shared" ref="P326" si="874">O326+1</f>
        <v>15</v>
      </c>
      <c r="Q326" s="589">
        <f t="shared" ref="Q326" si="875">P326+1</f>
        <v>16</v>
      </c>
      <c r="R326" s="589">
        <f t="shared" ref="R326" si="876">Q326+1</f>
        <v>17</v>
      </c>
      <c r="S326" s="589">
        <f t="shared" ref="S326" si="877">R326+1</f>
        <v>18</v>
      </c>
      <c r="T326" s="589">
        <f t="shared" ref="T326" si="878">S326+1</f>
        <v>19</v>
      </c>
      <c r="U326" s="589">
        <f t="shared" ref="U326" si="879">T326+1</f>
        <v>20</v>
      </c>
      <c r="V326" s="589">
        <f t="shared" ref="V326" si="880">U326+1</f>
        <v>21</v>
      </c>
      <c r="W326" s="589">
        <f t="shared" ref="W326" si="881">V326+1</f>
        <v>22</v>
      </c>
      <c r="X326" s="589">
        <f t="shared" ref="X326" si="882">W326+1</f>
        <v>23</v>
      </c>
      <c r="Y326" s="589">
        <f t="shared" ref="Y326" si="883">X326+1</f>
        <v>24</v>
      </c>
      <c r="Z326" s="589">
        <f t="shared" ref="Z326" si="884">Y326+1</f>
        <v>25</v>
      </c>
      <c r="AA326" s="589">
        <f t="shared" ref="AA326" si="885">Z326+1</f>
        <v>26</v>
      </c>
      <c r="AB326" s="589">
        <f t="shared" ref="AB326" si="886">AA326+1</f>
        <v>27</v>
      </c>
      <c r="AC326" s="589">
        <f t="shared" ref="AC326" si="887">AB326+1</f>
        <v>28</v>
      </c>
      <c r="AD326" s="589">
        <f t="shared" ref="AD326" si="888">AC326+1</f>
        <v>29</v>
      </c>
      <c r="AE326" s="589">
        <f t="shared" ref="AE326" si="889">AD326+1</f>
        <v>30</v>
      </c>
    </row>
    <row r="327" spans="1:31" outlineLevel="2">
      <c r="A327" s="590" t="s">
        <v>687</v>
      </c>
      <c r="B327" s="584">
        <f>B320</f>
        <v>0</v>
      </c>
      <c r="C327" s="584">
        <f>B328</f>
        <v>0</v>
      </c>
      <c r="D327" s="584">
        <f t="shared" ref="D327" si="890">C328</f>
        <v>0</v>
      </c>
      <c r="E327" s="584">
        <f t="shared" ref="E327" si="891">D328</f>
        <v>0</v>
      </c>
      <c r="F327" s="584">
        <f t="shared" ref="F327" si="892">E328</f>
        <v>0</v>
      </c>
      <c r="G327" s="584">
        <f t="shared" ref="G327" si="893">F328</f>
        <v>0</v>
      </c>
      <c r="H327" s="584">
        <f t="shared" ref="H327" si="894">G328</f>
        <v>0</v>
      </c>
      <c r="I327" s="584">
        <f t="shared" ref="I327" si="895">H328</f>
        <v>0</v>
      </c>
      <c r="J327" s="584">
        <f t="shared" ref="J327" si="896">I328</f>
        <v>0</v>
      </c>
      <c r="K327" s="584">
        <f t="shared" ref="K327" si="897">J328</f>
        <v>0</v>
      </c>
      <c r="L327" s="584">
        <f t="shared" ref="L327" si="898">K328</f>
        <v>0</v>
      </c>
      <c r="M327" s="584">
        <f t="shared" ref="M327" si="899">L328</f>
        <v>0</v>
      </c>
      <c r="N327" s="584">
        <f t="shared" ref="N327" si="900">M328</f>
        <v>0</v>
      </c>
      <c r="O327" s="584">
        <f t="shared" ref="O327" si="901">N328</f>
        <v>0</v>
      </c>
      <c r="P327" s="584">
        <f t="shared" ref="P327" si="902">O328</f>
        <v>0</v>
      </c>
      <c r="Q327" s="584">
        <f t="shared" ref="Q327" si="903">P328</f>
        <v>0</v>
      </c>
      <c r="R327" s="584">
        <f t="shared" ref="R327" si="904">Q328</f>
        <v>0</v>
      </c>
      <c r="S327" s="584">
        <f t="shared" ref="S327" si="905">R328</f>
        <v>0</v>
      </c>
      <c r="T327" s="584">
        <f t="shared" ref="T327" si="906">S328</f>
        <v>0</v>
      </c>
      <c r="U327" s="584">
        <f t="shared" ref="U327" si="907">T328</f>
        <v>0</v>
      </c>
      <c r="V327" s="584">
        <f t="shared" ref="V327" si="908">U328</f>
        <v>0</v>
      </c>
      <c r="W327" s="584">
        <f t="shared" ref="W327" si="909">V328</f>
        <v>0</v>
      </c>
      <c r="X327" s="584">
        <f t="shared" ref="X327" si="910">W328</f>
        <v>0</v>
      </c>
      <c r="Y327" s="584">
        <f t="shared" ref="Y327" si="911">X328</f>
        <v>0</v>
      </c>
      <c r="Z327" s="584">
        <f t="shared" ref="Z327" si="912">Y328</f>
        <v>0</v>
      </c>
      <c r="AA327" s="584">
        <f t="shared" ref="AA327" si="913">Z328</f>
        <v>0</v>
      </c>
      <c r="AB327" s="584">
        <f t="shared" ref="AB327" si="914">AA328</f>
        <v>0</v>
      </c>
      <c r="AC327" s="584">
        <f t="shared" ref="AC327" si="915">AB328</f>
        <v>0</v>
      </c>
      <c r="AD327" s="584">
        <f t="shared" ref="AD327" si="916">AC328</f>
        <v>0</v>
      </c>
      <c r="AE327" s="584">
        <f t="shared" ref="AE327" si="917">AD328</f>
        <v>0</v>
      </c>
    </row>
    <row r="328" spans="1:31" outlineLevel="2">
      <c r="A328" s="590" t="s">
        <v>688</v>
      </c>
      <c r="B328" s="584">
        <f>B327-B329</f>
        <v>0</v>
      </c>
      <c r="C328" s="584">
        <f t="shared" ref="C328" si="918">C327-C329</f>
        <v>0</v>
      </c>
      <c r="D328" s="584">
        <f t="shared" ref="D328" si="919">D327-D329</f>
        <v>0</v>
      </c>
      <c r="E328" s="584">
        <f>E327-E329</f>
        <v>0</v>
      </c>
      <c r="F328" s="584">
        <f t="shared" ref="F328" si="920">F327-F329</f>
        <v>0</v>
      </c>
      <c r="G328" s="584">
        <f t="shared" ref="G328" si="921">G327-G329</f>
        <v>0</v>
      </c>
      <c r="H328" s="584">
        <f t="shared" ref="H328" si="922">H327-H329</f>
        <v>0</v>
      </c>
      <c r="I328" s="584">
        <f t="shared" ref="I328" si="923">I327-I329</f>
        <v>0</v>
      </c>
      <c r="J328" s="584">
        <f t="shared" ref="J328" si="924">J327-J329</f>
        <v>0</v>
      </c>
      <c r="K328" s="584">
        <f t="shared" ref="K328" si="925">K327-K329</f>
        <v>0</v>
      </c>
      <c r="L328" s="584">
        <f t="shared" ref="L328" si="926">L327-L329</f>
        <v>0</v>
      </c>
      <c r="M328" s="584">
        <f t="shared" ref="M328" si="927">M327-M329</f>
        <v>0</v>
      </c>
      <c r="N328" s="584">
        <f t="shared" ref="N328" si="928">N327-N329</f>
        <v>0</v>
      </c>
      <c r="O328" s="584">
        <f t="shared" ref="O328" si="929">O327-O329</f>
        <v>0</v>
      </c>
      <c r="P328" s="584">
        <f t="shared" ref="P328" si="930">P327-P329</f>
        <v>0</v>
      </c>
      <c r="Q328" s="584">
        <f t="shared" ref="Q328" si="931">Q327-Q329</f>
        <v>0</v>
      </c>
      <c r="R328" s="584">
        <f t="shared" ref="R328" si="932">R327-R329</f>
        <v>0</v>
      </c>
      <c r="S328" s="584">
        <f t="shared" ref="S328" si="933">S327-S329</f>
        <v>0</v>
      </c>
      <c r="T328" s="584">
        <f t="shared" ref="T328" si="934">T327-T329</f>
        <v>0</v>
      </c>
      <c r="U328" s="584">
        <f t="shared" ref="U328" si="935">U327-U329</f>
        <v>0</v>
      </c>
      <c r="V328" s="584">
        <f t="shared" ref="V328" si="936">V327-V329</f>
        <v>0</v>
      </c>
      <c r="W328" s="584">
        <f t="shared" ref="W328" si="937">W327-W329</f>
        <v>0</v>
      </c>
      <c r="X328" s="584">
        <f t="shared" ref="X328" si="938">X327-X329</f>
        <v>0</v>
      </c>
      <c r="Y328" s="584">
        <f t="shared" ref="Y328" si="939">Y327-Y329</f>
        <v>0</v>
      </c>
      <c r="Z328" s="584">
        <f t="shared" ref="Z328" si="940">Z327-Z329</f>
        <v>0</v>
      </c>
      <c r="AA328" s="584">
        <f t="shared" ref="AA328" si="941">AA327-AA329</f>
        <v>0</v>
      </c>
      <c r="AB328" s="584">
        <f t="shared" ref="AB328" si="942">AB327-AB329</f>
        <v>0</v>
      </c>
      <c r="AC328" s="584">
        <f t="shared" ref="AC328" si="943">AC327-AC329</f>
        <v>0</v>
      </c>
      <c r="AD328" s="584">
        <f t="shared" ref="AD328" si="944">AD327-AD329</f>
        <v>0</v>
      </c>
      <c r="AE328" s="584">
        <f t="shared" ref="AE328" si="945">AE327-AE329</f>
        <v>0</v>
      </c>
    </row>
    <row r="329" spans="1:31" outlineLevel="2">
      <c r="A329" s="590" t="s">
        <v>680</v>
      </c>
      <c r="B329" s="584">
        <f>IF($B322=B326,B327,0)</f>
        <v>0</v>
      </c>
      <c r="C329" s="584">
        <f t="shared" ref="C329:D329" si="946">IF($B322=C326,C327,0)</f>
        <v>0</v>
      </c>
      <c r="D329" s="584">
        <f t="shared" si="946"/>
        <v>0</v>
      </c>
      <c r="E329" s="584">
        <f>IF($B322=E326,E327,0)</f>
        <v>0</v>
      </c>
      <c r="F329" s="584">
        <f t="shared" ref="F329:AE329" si="947">IF($B322=F326,F327,0)</f>
        <v>0</v>
      </c>
      <c r="G329" s="584">
        <f t="shared" si="947"/>
        <v>0</v>
      </c>
      <c r="H329" s="584">
        <f t="shared" si="947"/>
        <v>0</v>
      </c>
      <c r="I329" s="584">
        <f t="shared" si="947"/>
        <v>0</v>
      </c>
      <c r="J329" s="584">
        <f t="shared" si="947"/>
        <v>0</v>
      </c>
      <c r="K329" s="584">
        <f t="shared" si="947"/>
        <v>0</v>
      </c>
      <c r="L329" s="584">
        <f t="shared" si="947"/>
        <v>0</v>
      </c>
      <c r="M329" s="584">
        <f t="shared" si="947"/>
        <v>0</v>
      </c>
      <c r="N329" s="584">
        <f t="shared" si="947"/>
        <v>0</v>
      </c>
      <c r="O329" s="584">
        <f t="shared" si="947"/>
        <v>0</v>
      </c>
      <c r="P329" s="584">
        <f t="shared" si="947"/>
        <v>0</v>
      </c>
      <c r="Q329" s="584">
        <f t="shared" si="947"/>
        <v>0</v>
      </c>
      <c r="R329" s="584">
        <f t="shared" si="947"/>
        <v>0</v>
      </c>
      <c r="S329" s="584">
        <f t="shared" si="947"/>
        <v>0</v>
      </c>
      <c r="T329" s="584">
        <f t="shared" si="947"/>
        <v>0</v>
      </c>
      <c r="U329" s="584">
        <f t="shared" si="947"/>
        <v>0</v>
      </c>
      <c r="V329" s="584">
        <f t="shared" si="947"/>
        <v>0</v>
      </c>
      <c r="W329" s="584">
        <f t="shared" si="947"/>
        <v>0</v>
      </c>
      <c r="X329" s="584">
        <f t="shared" si="947"/>
        <v>0</v>
      </c>
      <c r="Y329" s="584">
        <f t="shared" si="947"/>
        <v>0</v>
      </c>
      <c r="Z329" s="584">
        <f t="shared" si="947"/>
        <v>0</v>
      </c>
      <c r="AA329" s="584">
        <f t="shared" si="947"/>
        <v>0</v>
      </c>
      <c r="AB329" s="584">
        <f t="shared" si="947"/>
        <v>0</v>
      </c>
      <c r="AC329" s="584">
        <f t="shared" si="947"/>
        <v>0</v>
      </c>
      <c r="AD329" s="584">
        <f t="shared" si="947"/>
        <v>0</v>
      </c>
      <c r="AE329" s="584">
        <f t="shared" si="947"/>
        <v>0</v>
      </c>
    </row>
    <row r="330" spans="1:31" outlineLevel="2">
      <c r="A330" s="590" t="s">
        <v>681</v>
      </c>
      <c r="B330" s="584">
        <f>IF($B322&gt;=B326,B327*$B321,0)</f>
        <v>0</v>
      </c>
      <c r="C330" s="584">
        <f t="shared" ref="C330:AE330" si="948">IF($B322&gt;=C326,C327*$B321,0)</f>
        <v>0</v>
      </c>
      <c r="D330" s="584">
        <f t="shared" si="948"/>
        <v>0</v>
      </c>
      <c r="E330" s="584">
        <f t="shared" si="948"/>
        <v>0</v>
      </c>
      <c r="F330" s="584">
        <f t="shared" si="948"/>
        <v>0</v>
      </c>
      <c r="G330" s="584">
        <f t="shared" si="948"/>
        <v>0</v>
      </c>
      <c r="H330" s="584">
        <f t="shared" si="948"/>
        <v>0</v>
      </c>
      <c r="I330" s="584">
        <f t="shared" si="948"/>
        <v>0</v>
      </c>
      <c r="J330" s="584">
        <f>IF($B322&gt;=J326,J327*$B321,0)</f>
        <v>0</v>
      </c>
      <c r="K330" s="584">
        <f t="shared" si="948"/>
        <v>0</v>
      </c>
      <c r="L330" s="584">
        <f t="shared" si="948"/>
        <v>0</v>
      </c>
      <c r="M330" s="584">
        <f t="shared" si="948"/>
        <v>0</v>
      </c>
      <c r="N330" s="584">
        <f t="shared" si="948"/>
        <v>0</v>
      </c>
      <c r="O330" s="584">
        <f t="shared" si="948"/>
        <v>0</v>
      </c>
      <c r="P330" s="584">
        <f t="shared" si="948"/>
        <v>0</v>
      </c>
      <c r="Q330" s="584">
        <f t="shared" si="948"/>
        <v>0</v>
      </c>
      <c r="R330" s="584">
        <f t="shared" si="948"/>
        <v>0</v>
      </c>
      <c r="S330" s="584">
        <f t="shared" si="948"/>
        <v>0</v>
      </c>
      <c r="T330" s="584">
        <f t="shared" si="948"/>
        <v>0</v>
      </c>
      <c r="U330" s="584">
        <f t="shared" si="948"/>
        <v>0</v>
      </c>
      <c r="V330" s="584">
        <f t="shared" si="948"/>
        <v>0</v>
      </c>
      <c r="W330" s="584">
        <f t="shared" si="948"/>
        <v>0</v>
      </c>
      <c r="X330" s="584">
        <f t="shared" si="948"/>
        <v>0</v>
      </c>
      <c r="Y330" s="584">
        <f t="shared" si="948"/>
        <v>0</v>
      </c>
      <c r="Z330" s="584">
        <f t="shared" si="948"/>
        <v>0</v>
      </c>
      <c r="AA330" s="584">
        <f t="shared" si="948"/>
        <v>0</v>
      </c>
      <c r="AB330" s="584">
        <f t="shared" si="948"/>
        <v>0</v>
      </c>
      <c r="AC330" s="584">
        <f t="shared" si="948"/>
        <v>0</v>
      </c>
      <c r="AD330" s="584">
        <f t="shared" si="948"/>
        <v>0</v>
      </c>
      <c r="AE330" s="584">
        <f t="shared" si="948"/>
        <v>0</v>
      </c>
    </row>
    <row r="331" spans="1:31" outlineLevel="2">
      <c r="A331" s="590" t="s">
        <v>689</v>
      </c>
      <c r="B331" s="584">
        <f>B329+B330</f>
        <v>0</v>
      </c>
      <c r="C331" s="584">
        <f t="shared" ref="C331:D331" si="949">C329+C330</f>
        <v>0</v>
      </c>
      <c r="D331" s="584">
        <f t="shared" si="949"/>
        <v>0</v>
      </c>
      <c r="E331" s="584">
        <f>E329+E330</f>
        <v>0</v>
      </c>
      <c r="F331" s="584">
        <f t="shared" ref="F331:AE331" si="950">F329+F330</f>
        <v>0</v>
      </c>
      <c r="G331" s="584">
        <f t="shared" si="950"/>
        <v>0</v>
      </c>
      <c r="H331" s="584">
        <f t="shared" si="950"/>
        <v>0</v>
      </c>
      <c r="I331" s="584">
        <f t="shared" si="950"/>
        <v>0</v>
      </c>
      <c r="J331" s="584">
        <f t="shared" si="950"/>
        <v>0</v>
      </c>
      <c r="K331" s="584">
        <f t="shared" si="950"/>
        <v>0</v>
      </c>
      <c r="L331" s="584">
        <f t="shared" si="950"/>
        <v>0</v>
      </c>
      <c r="M331" s="584">
        <f t="shared" si="950"/>
        <v>0</v>
      </c>
      <c r="N331" s="584">
        <f t="shared" si="950"/>
        <v>0</v>
      </c>
      <c r="O331" s="584">
        <f t="shared" si="950"/>
        <v>0</v>
      </c>
      <c r="P331" s="584">
        <f t="shared" si="950"/>
        <v>0</v>
      </c>
      <c r="Q331" s="584">
        <f t="shared" si="950"/>
        <v>0</v>
      </c>
      <c r="R331" s="584">
        <f t="shared" si="950"/>
        <v>0</v>
      </c>
      <c r="S331" s="584">
        <f t="shared" si="950"/>
        <v>0</v>
      </c>
      <c r="T331" s="584">
        <f t="shared" si="950"/>
        <v>0</v>
      </c>
      <c r="U331" s="584">
        <f t="shared" si="950"/>
        <v>0</v>
      </c>
      <c r="V331" s="584">
        <f t="shared" si="950"/>
        <v>0</v>
      </c>
      <c r="W331" s="584">
        <f t="shared" si="950"/>
        <v>0</v>
      </c>
      <c r="X331" s="584">
        <f t="shared" si="950"/>
        <v>0</v>
      </c>
      <c r="Y331" s="584">
        <f t="shared" si="950"/>
        <v>0</v>
      </c>
      <c r="Z331" s="584">
        <f t="shared" si="950"/>
        <v>0</v>
      </c>
      <c r="AA331" s="584">
        <f t="shared" si="950"/>
        <v>0</v>
      </c>
      <c r="AB331" s="584">
        <f t="shared" si="950"/>
        <v>0</v>
      </c>
      <c r="AC331" s="584">
        <f t="shared" si="950"/>
        <v>0</v>
      </c>
      <c r="AD331" s="584">
        <f t="shared" si="950"/>
        <v>0</v>
      </c>
      <c r="AE331" s="584">
        <f t="shared" si="950"/>
        <v>0</v>
      </c>
    </row>
    <row r="332" spans="1:31" outlineLevel="1">
      <c r="A332" s="590"/>
    </row>
    <row r="333" spans="1:31" outlineLevel="2">
      <c r="A333" s="585" t="str">
        <f>assumptions!A41</f>
        <v>[Additional Field - Specify] (Non-Amortizing)</v>
      </c>
    </row>
    <row r="334" spans="1:31" outlineLevel="2">
      <c r="A334" s="590"/>
    </row>
    <row r="335" spans="1:31" outlineLevel="2">
      <c r="A335" s="586" t="s">
        <v>680</v>
      </c>
      <c r="B335" s="584">
        <f>assumptions!B41</f>
        <v>0</v>
      </c>
    </row>
    <row r="336" spans="1:31" outlineLevel="2">
      <c r="A336" s="586" t="s">
        <v>681</v>
      </c>
      <c r="B336" s="134">
        <f>assumptions!D41</f>
        <v>0</v>
      </c>
    </row>
    <row r="337" spans="1:31" outlineLevel="2">
      <c r="A337" s="586" t="s">
        <v>683</v>
      </c>
      <c r="B337" s="584">
        <f>IF(assumptions!F41="deferred",0,assumptions!F41)</f>
        <v>0</v>
      </c>
    </row>
    <row r="338" spans="1:31" outlineLevel="2">
      <c r="A338" s="586" t="s">
        <v>684</v>
      </c>
      <c r="B338" s="584">
        <f>B335*(B336/12)</f>
        <v>0</v>
      </c>
    </row>
    <row r="339" spans="1:31" outlineLevel="2">
      <c r="A339" s="586" t="s">
        <v>685</v>
      </c>
      <c r="B339" s="584">
        <f>B338*12</f>
        <v>0</v>
      </c>
    </row>
    <row r="340" spans="1:31" outlineLevel="2">
      <c r="A340" s="590"/>
    </row>
    <row r="341" spans="1:31" outlineLevel="2">
      <c r="A341" s="588" t="s">
        <v>686</v>
      </c>
      <c r="B341" s="589">
        <v>1</v>
      </c>
      <c r="C341" s="589">
        <f t="shared" ref="C341" si="951">B341+1</f>
        <v>2</v>
      </c>
      <c r="D341" s="589">
        <f t="shared" ref="D341" si="952">C341+1</f>
        <v>3</v>
      </c>
      <c r="E341" s="589">
        <f t="shared" ref="E341" si="953">D341+1</f>
        <v>4</v>
      </c>
      <c r="F341" s="589">
        <f t="shared" ref="F341" si="954">E341+1</f>
        <v>5</v>
      </c>
      <c r="G341" s="589">
        <f t="shared" ref="G341" si="955">F341+1</f>
        <v>6</v>
      </c>
      <c r="H341" s="589">
        <f t="shared" ref="H341" si="956">G341+1</f>
        <v>7</v>
      </c>
      <c r="I341" s="589">
        <f t="shared" ref="I341" si="957">H341+1</f>
        <v>8</v>
      </c>
      <c r="J341" s="589">
        <f t="shared" ref="J341" si="958">I341+1</f>
        <v>9</v>
      </c>
      <c r="K341" s="589">
        <f t="shared" ref="K341" si="959">J341+1</f>
        <v>10</v>
      </c>
      <c r="L341" s="589">
        <f t="shared" ref="L341" si="960">K341+1</f>
        <v>11</v>
      </c>
      <c r="M341" s="589">
        <f t="shared" ref="M341" si="961">L341+1</f>
        <v>12</v>
      </c>
      <c r="N341" s="589">
        <f t="shared" ref="N341" si="962">M341+1</f>
        <v>13</v>
      </c>
      <c r="O341" s="589">
        <f t="shared" ref="O341" si="963">N341+1</f>
        <v>14</v>
      </c>
      <c r="P341" s="589">
        <f t="shared" ref="P341" si="964">O341+1</f>
        <v>15</v>
      </c>
      <c r="Q341" s="589">
        <f t="shared" ref="Q341" si="965">P341+1</f>
        <v>16</v>
      </c>
      <c r="R341" s="589">
        <f t="shared" ref="R341" si="966">Q341+1</f>
        <v>17</v>
      </c>
      <c r="S341" s="589">
        <f t="shared" ref="S341" si="967">R341+1</f>
        <v>18</v>
      </c>
      <c r="T341" s="589">
        <f t="shared" ref="T341" si="968">S341+1</f>
        <v>19</v>
      </c>
      <c r="U341" s="589">
        <f t="shared" ref="U341" si="969">T341+1</f>
        <v>20</v>
      </c>
      <c r="V341" s="589">
        <f t="shared" ref="V341" si="970">U341+1</f>
        <v>21</v>
      </c>
      <c r="W341" s="589">
        <f t="shared" ref="W341" si="971">V341+1</f>
        <v>22</v>
      </c>
      <c r="X341" s="589">
        <f t="shared" ref="X341" si="972">W341+1</f>
        <v>23</v>
      </c>
      <c r="Y341" s="589">
        <f t="shared" ref="Y341" si="973">X341+1</f>
        <v>24</v>
      </c>
      <c r="Z341" s="589">
        <f t="shared" ref="Z341" si="974">Y341+1</f>
        <v>25</v>
      </c>
      <c r="AA341" s="589">
        <f t="shared" ref="AA341" si="975">Z341+1</f>
        <v>26</v>
      </c>
      <c r="AB341" s="589">
        <f t="shared" ref="AB341" si="976">AA341+1</f>
        <v>27</v>
      </c>
      <c r="AC341" s="589">
        <f t="shared" ref="AC341" si="977">AB341+1</f>
        <v>28</v>
      </c>
      <c r="AD341" s="589">
        <f t="shared" ref="AD341" si="978">AC341+1</f>
        <v>29</v>
      </c>
      <c r="AE341" s="589">
        <f t="shared" ref="AE341" si="979">AD341+1</f>
        <v>30</v>
      </c>
    </row>
    <row r="342" spans="1:31" outlineLevel="2">
      <c r="A342" s="590" t="s">
        <v>687</v>
      </c>
      <c r="B342" s="584">
        <f>B335</f>
        <v>0</v>
      </c>
      <c r="C342" s="584">
        <f>B343</f>
        <v>0</v>
      </c>
      <c r="D342" s="584">
        <f t="shared" ref="D342" si="980">C343</f>
        <v>0</v>
      </c>
      <c r="E342" s="584">
        <f t="shared" ref="E342" si="981">D343</f>
        <v>0</v>
      </c>
      <c r="F342" s="584">
        <f t="shared" ref="F342" si="982">E343</f>
        <v>0</v>
      </c>
      <c r="G342" s="584">
        <f t="shared" ref="G342" si="983">F343</f>
        <v>0</v>
      </c>
      <c r="H342" s="584">
        <f t="shared" ref="H342" si="984">G343</f>
        <v>0</v>
      </c>
      <c r="I342" s="584">
        <f t="shared" ref="I342" si="985">H343</f>
        <v>0</v>
      </c>
      <c r="J342" s="584">
        <f t="shared" ref="J342" si="986">I343</f>
        <v>0</v>
      </c>
      <c r="K342" s="584">
        <f t="shared" ref="K342" si="987">J343</f>
        <v>0</v>
      </c>
      <c r="L342" s="584">
        <f t="shared" ref="L342" si="988">K343</f>
        <v>0</v>
      </c>
      <c r="M342" s="584">
        <f t="shared" ref="M342" si="989">L343</f>
        <v>0</v>
      </c>
      <c r="N342" s="584">
        <f t="shared" ref="N342" si="990">M343</f>
        <v>0</v>
      </c>
      <c r="O342" s="584">
        <f t="shared" ref="O342" si="991">N343</f>
        <v>0</v>
      </c>
      <c r="P342" s="584">
        <f t="shared" ref="P342" si="992">O343</f>
        <v>0</v>
      </c>
      <c r="Q342" s="584">
        <f t="shared" ref="Q342" si="993">P343</f>
        <v>0</v>
      </c>
      <c r="R342" s="584">
        <f t="shared" ref="R342" si="994">Q343</f>
        <v>0</v>
      </c>
      <c r="S342" s="584">
        <f t="shared" ref="S342" si="995">R343</f>
        <v>0</v>
      </c>
      <c r="T342" s="584">
        <f t="shared" ref="T342" si="996">S343</f>
        <v>0</v>
      </c>
      <c r="U342" s="584">
        <f t="shared" ref="U342" si="997">T343</f>
        <v>0</v>
      </c>
      <c r="V342" s="584">
        <f t="shared" ref="V342" si="998">U343</f>
        <v>0</v>
      </c>
      <c r="W342" s="584">
        <f t="shared" ref="W342" si="999">V343</f>
        <v>0</v>
      </c>
      <c r="X342" s="584">
        <f t="shared" ref="X342" si="1000">W343</f>
        <v>0</v>
      </c>
      <c r="Y342" s="584">
        <f t="shared" ref="Y342" si="1001">X343</f>
        <v>0</v>
      </c>
      <c r="Z342" s="584">
        <f t="shared" ref="Z342" si="1002">Y343</f>
        <v>0</v>
      </c>
      <c r="AA342" s="584">
        <f t="shared" ref="AA342" si="1003">Z343</f>
        <v>0</v>
      </c>
      <c r="AB342" s="584">
        <f t="shared" ref="AB342" si="1004">AA343</f>
        <v>0</v>
      </c>
      <c r="AC342" s="584">
        <f t="shared" ref="AC342" si="1005">AB343</f>
        <v>0</v>
      </c>
      <c r="AD342" s="584">
        <f t="shared" ref="AD342" si="1006">AC343</f>
        <v>0</v>
      </c>
      <c r="AE342" s="584">
        <f t="shared" ref="AE342" si="1007">AD343</f>
        <v>0</v>
      </c>
    </row>
    <row r="343" spans="1:31" outlineLevel="2">
      <c r="A343" s="590" t="s">
        <v>688</v>
      </c>
      <c r="B343" s="584">
        <f>B342-B344</f>
        <v>0</v>
      </c>
      <c r="C343" s="584">
        <f t="shared" ref="C343" si="1008">C342-C344</f>
        <v>0</v>
      </c>
      <c r="D343" s="584">
        <f t="shared" ref="D343" si="1009">D342-D344</f>
        <v>0</v>
      </c>
      <c r="E343" s="584">
        <f>E342-E344</f>
        <v>0</v>
      </c>
      <c r="F343" s="584">
        <f t="shared" ref="F343" si="1010">F342-F344</f>
        <v>0</v>
      </c>
      <c r="G343" s="584">
        <f t="shared" ref="G343" si="1011">G342-G344</f>
        <v>0</v>
      </c>
      <c r="H343" s="584">
        <f t="shared" ref="H343" si="1012">H342-H344</f>
        <v>0</v>
      </c>
      <c r="I343" s="584">
        <f t="shared" ref="I343" si="1013">I342-I344</f>
        <v>0</v>
      </c>
      <c r="J343" s="584">
        <f t="shared" ref="J343" si="1014">J342-J344</f>
        <v>0</v>
      </c>
      <c r="K343" s="584">
        <f t="shared" ref="K343" si="1015">K342-K344</f>
        <v>0</v>
      </c>
      <c r="L343" s="584">
        <f t="shared" ref="L343" si="1016">L342-L344</f>
        <v>0</v>
      </c>
      <c r="M343" s="584">
        <f t="shared" ref="M343" si="1017">M342-M344</f>
        <v>0</v>
      </c>
      <c r="N343" s="584">
        <f t="shared" ref="N343" si="1018">N342-N344</f>
        <v>0</v>
      </c>
      <c r="O343" s="584">
        <f t="shared" ref="O343" si="1019">O342-O344</f>
        <v>0</v>
      </c>
      <c r="P343" s="584">
        <f t="shared" ref="P343" si="1020">P342-P344</f>
        <v>0</v>
      </c>
      <c r="Q343" s="584">
        <f t="shared" ref="Q343" si="1021">Q342-Q344</f>
        <v>0</v>
      </c>
      <c r="R343" s="584">
        <f t="shared" ref="R343" si="1022">R342-R344</f>
        <v>0</v>
      </c>
      <c r="S343" s="584">
        <f t="shared" ref="S343" si="1023">S342-S344</f>
        <v>0</v>
      </c>
      <c r="T343" s="584">
        <f t="shared" ref="T343" si="1024">T342-T344</f>
        <v>0</v>
      </c>
      <c r="U343" s="584">
        <f t="shared" ref="U343" si="1025">U342-U344</f>
        <v>0</v>
      </c>
      <c r="V343" s="584">
        <f t="shared" ref="V343" si="1026">V342-V344</f>
        <v>0</v>
      </c>
      <c r="W343" s="584">
        <f t="shared" ref="W343" si="1027">W342-W344</f>
        <v>0</v>
      </c>
      <c r="X343" s="584">
        <f t="shared" ref="X343" si="1028">X342-X344</f>
        <v>0</v>
      </c>
      <c r="Y343" s="584">
        <f t="shared" ref="Y343" si="1029">Y342-Y344</f>
        <v>0</v>
      </c>
      <c r="Z343" s="584">
        <f t="shared" ref="Z343" si="1030">Z342-Z344</f>
        <v>0</v>
      </c>
      <c r="AA343" s="584">
        <f t="shared" ref="AA343" si="1031">AA342-AA344</f>
        <v>0</v>
      </c>
      <c r="AB343" s="584">
        <f t="shared" ref="AB343" si="1032">AB342-AB344</f>
        <v>0</v>
      </c>
      <c r="AC343" s="584">
        <f t="shared" ref="AC343" si="1033">AC342-AC344</f>
        <v>0</v>
      </c>
      <c r="AD343" s="584">
        <f t="shared" ref="AD343" si="1034">AD342-AD344</f>
        <v>0</v>
      </c>
      <c r="AE343" s="584">
        <f t="shared" ref="AE343" si="1035">AE342-AE344</f>
        <v>0</v>
      </c>
    </row>
    <row r="344" spans="1:31" outlineLevel="2">
      <c r="A344" s="590" t="s">
        <v>680</v>
      </c>
      <c r="B344" s="584">
        <f>IF($B337=B341,B342,0)</f>
        <v>0</v>
      </c>
      <c r="C344" s="584">
        <f t="shared" ref="C344:D344" si="1036">IF($B337=C341,C342,0)</f>
        <v>0</v>
      </c>
      <c r="D344" s="584">
        <f t="shared" si="1036"/>
        <v>0</v>
      </c>
      <c r="E344" s="584">
        <f>IF($B337=E341,E342,0)</f>
        <v>0</v>
      </c>
      <c r="F344" s="584">
        <f t="shared" ref="F344:AE344" si="1037">IF($B337=F341,F342,0)</f>
        <v>0</v>
      </c>
      <c r="G344" s="584">
        <f t="shared" si="1037"/>
        <v>0</v>
      </c>
      <c r="H344" s="584">
        <f t="shared" si="1037"/>
        <v>0</v>
      </c>
      <c r="I344" s="584">
        <f t="shared" si="1037"/>
        <v>0</v>
      </c>
      <c r="J344" s="584">
        <f t="shared" si="1037"/>
        <v>0</v>
      </c>
      <c r="K344" s="584">
        <f t="shared" si="1037"/>
        <v>0</v>
      </c>
      <c r="L344" s="584">
        <f t="shared" si="1037"/>
        <v>0</v>
      </c>
      <c r="M344" s="584">
        <f t="shared" si="1037"/>
        <v>0</v>
      </c>
      <c r="N344" s="584">
        <f t="shared" si="1037"/>
        <v>0</v>
      </c>
      <c r="O344" s="584">
        <f t="shared" si="1037"/>
        <v>0</v>
      </c>
      <c r="P344" s="584">
        <f t="shared" si="1037"/>
        <v>0</v>
      </c>
      <c r="Q344" s="584">
        <f t="shared" si="1037"/>
        <v>0</v>
      </c>
      <c r="R344" s="584">
        <f t="shared" si="1037"/>
        <v>0</v>
      </c>
      <c r="S344" s="584">
        <f t="shared" si="1037"/>
        <v>0</v>
      </c>
      <c r="T344" s="584">
        <f t="shared" si="1037"/>
        <v>0</v>
      </c>
      <c r="U344" s="584">
        <f t="shared" si="1037"/>
        <v>0</v>
      </c>
      <c r="V344" s="584">
        <f t="shared" si="1037"/>
        <v>0</v>
      </c>
      <c r="W344" s="584">
        <f t="shared" si="1037"/>
        <v>0</v>
      </c>
      <c r="X344" s="584">
        <f t="shared" si="1037"/>
        <v>0</v>
      </c>
      <c r="Y344" s="584">
        <f t="shared" si="1037"/>
        <v>0</v>
      </c>
      <c r="Z344" s="584">
        <f t="shared" si="1037"/>
        <v>0</v>
      </c>
      <c r="AA344" s="584">
        <f t="shared" si="1037"/>
        <v>0</v>
      </c>
      <c r="AB344" s="584">
        <f t="shared" si="1037"/>
        <v>0</v>
      </c>
      <c r="AC344" s="584">
        <f t="shared" si="1037"/>
        <v>0</v>
      </c>
      <c r="AD344" s="584">
        <f t="shared" si="1037"/>
        <v>0</v>
      </c>
      <c r="AE344" s="584">
        <f t="shared" si="1037"/>
        <v>0</v>
      </c>
    </row>
    <row r="345" spans="1:31" outlineLevel="2">
      <c r="A345" s="590" t="s">
        <v>681</v>
      </c>
      <c r="B345" s="584">
        <f>IF($B337&gt;=B341,B342*$B336,0)</f>
        <v>0</v>
      </c>
      <c r="C345" s="584">
        <f t="shared" ref="C345:AE345" si="1038">IF($B337&gt;=C341,C342*$B336,0)</f>
        <v>0</v>
      </c>
      <c r="D345" s="584">
        <f t="shared" si="1038"/>
        <v>0</v>
      </c>
      <c r="E345" s="584">
        <f t="shared" si="1038"/>
        <v>0</v>
      </c>
      <c r="F345" s="584">
        <f t="shared" si="1038"/>
        <v>0</v>
      </c>
      <c r="G345" s="584">
        <f t="shared" si="1038"/>
        <v>0</v>
      </c>
      <c r="H345" s="584">
        <f t="shared" si="1038"/>
        <v>0</v>
      </c>
      <c r="I345" s="584">
        <f t="shared" si="1038"/>
        <v>0</v>
      </c>
      <c r="J345" s="584">
        <f>IF($B337&gt;=J341,J342*$B336,0)</f>
        <v>0</v>
      </c>
      <c r="K345" s="584">
        <f t="shared" si="1038"/>
        <v>0</v>
      </c>
      <c r="L345" s="584">
        <f t="shared" si="1038"/>
        <v>0</v>
      </c>
      <c r="M345" s="584">
        <f t="shared" si="1038"/>
        <v>0</v>
      </c>
      <c r="N345" s="584">
        <f t="shared" si="1038"/>
        <v>0</v>
      </c>
      <c r="O345" s="584">
        <f t="shared" si="1038"/>
        <v>0</v>
      </c>
      <c r="P345" s="584">
        <f t="shared" si="1038"/>
        <v>0</v>
      </c>
      <c r="Q345" s="584">
        <f t="shared" si="1038"/>
        <v>0</v>
      </c>
      <c r="R345" s="584">
        <f t="shared" si="1038"/>
        <v>0</v>
      </c>
      <c r="S345" s="584">
        <f t="shared" si="1038"/>
        <v>0</v>
      </c>
      <c r="T345" s="584">
        <f t="shared" si="1038"/>
        <v>0</v>
      </c>
      <c r="U345" s="584">
        <f t="shared" si="1038"/>
        <v>0</v>
      </c>
      <c r="V345" s="584">
        <f t="shared" si="1038"/>
        <v>0</v>
      </c>
      <c r="W345" s="584">
        <f t="shared" si="1038"/>
        <v>0</v>
      </c>
      <c r="X345" s="584">
        <f t="shared" si="1038"/>
        <v>0</v>
      </c>
      <c r="Y345" s="584">
        <f t="shared" si="1038"/>
        <v>0</v>
      </c>
      <c r="Z345" s="584">
        <f t="shared" si="1038"/>
        <v>0</v>
      </c>
      <c r="AA345" s="584">
        <f t="shared" si="1038"/>
        <v>0</v>
      </c>
      <c r="AB345" s="584">
        <f t="shared" si="1038"/>
        <v>0</v>
      </c>
      <c r="AC345" s="584">
        <f t="shared" si="1038"/>
        <v>0</v>
      </c>
      <c r="AD345" s="584">
        <f t="shared" si="1038"/>
        <v>0</v>
      </c>
      <c r="AE345" s="584">
        <f t="shared" si="1038"/>
        <v>0</v>
      </c>
    </row>
    <row r="346" spans="1:31" outlineLevel="2">
      <c r="A346" s="590" t="s">
        <v>689</v>
      </c>
      <c r="B346" s="584">
        <f>B344+B345</f>
        <v>0</v>
      </c>
      <c r="C346" s="584">
        <f t="shared" ref="C346:D346" si="1039">C344+C345</f>
        <v>0</v>
      </c>
      <c r="D346" s="584">
        <f t="shared" si="1039"/>
        <v>0</v>
      </c>
      <c r="E346" s="584">
        <f>E344+E345</f>
        <v>0</v>
      </c>
      <c r="F346" s="584">
        <f t="shared" ref="F346:AE346" si="1040">F344+F345</f>
        <v>0</v>
      </c>
      <c r="G346" s="584">
        <f t="shared" si="1040"/>
        <v>0</v>
      </c>
      <c r="H346" s="584">
        <f t="shared" si="1040"/>
        <v>0</v>
      </c>
      <c r="I346" s="584">
        <f t="shared" si="1040"/>
        <v>0</v>
      </c>
      <c r="J346" s="584">
        <f t="shared" si="1040"/>
        <v>0</v>
      </c>
      <c r="K346" s="584">
        <f t="shared" si="1040"/>
        <v>0</v>
      </c>
      <c r="L346" s="584">
        <f t="shared" si="1040"/>
        <v>0</v>
      </c>
      <c r="M346" s="584">
        <f t="shared" si="1040"/>
        <v>0</v>
      </c>
      <c r="N346" s="584">
        <f t="shared" si="1040"/>
        <v>0</v>
      </c>
      <c r="O346" s="584">
        <f t="shared" si="1040"/>
        <v>0</v>
      </c>
      <c r="P346" s="584">
        <f t="shared" si="1040"/>
        <v>0</v>
      </c>
      <c r="Q346" s="584">
        <f t="shared" si="1040"/>
        <v>0</v>
      </c>
      <c r="R346" s="584">
        <f t="shared" si="1040"/>
        <v>0</v>
      </c>
      <c r="S346" s="584">
        <f t="shared" si="1040"/>
        <v>0</v>
      </c>
      <c r="T346" s="584">
        <f t="shared" si="1040"/>
        <v>0</v>
      </c>
      <c r="U346" s="584">
        <f t="shared" si="1040"/>
        <v>0</v>
      </c>
      <c r="V346" s="584">
        <f t="shared" si="1040"/>
        <v>0</v>
      </c>
      <c r="W346" s="584">
        <f t="shared" si="1040"/>
        <v>0</v>
      </c>
      <c r="X346" s="584">
        <f t="shared" si="1040"/>
        <v>0</v>
      </c>
      <c r="Y346" s="584">
        <f t="shared" si="1040"/>
        <v>0</v>
      </c>
      <c r="Z346" s="584">
        <f t="shared" si="1040"/>
        <v>0</v>
      </c>
      <c r="AA346" s="584">
        <f t="shared" si="1040"/>
        <v>0</v>
      </c>
      <c r="AB346" s="584">
        <f t="shared" si="1040"/>
        <v>0</v>
      </c>
      <c r="AC346" s="584">
        <f t="shared" si="1040"/>
        <v>0</v>
      </c>
      <c r="AD346" s="584">
        <f t="shared" si="1040"/>
        <v>0</v>
      </c>
      <c r="AE346" s="584">
        <f t="shared" si="1040"/>
        <v>0</v>
      </c>
    </row>
    <row r="347" spans="1:31" outlineLevel="1">
      <c r="A347" s="590"/>
    </row>
    <row r="348" spans="1:31" outlineLevel="2">
      <c r="A348" s="585" t="str">
        <f>assumptions!A42</f>
        <v>[Additional Field - Specify] (Non-Amortizing)</v>
      </c>
    </row>
    <row r="349" spans="1:31" outlineLevel="2">
      <c r="A349" s="590"/>
    </row>
    <row r="350" spans="1:31" outlineLevel="2">
      <c r="A350" s="586" t="s">
        <v>680</v>
      </c>
      <c r="B350" s="584">
        <f>assumptions!B42</f>
        <v>0</v>
      </c>
    </row>
    <row r="351" spans="1:31" outlineLevel="2">
      <c r="A351" s="586" t="s">
        <v>681</v>
      </c>
      <c r="B351" s="134">
        <f>assumptions!D42</f>
        <v>0</v>
      </c>
    </row>
    <row r="352" spans="1:31" outlineLevel="2">
      <c r="A352" s="586" t="s">
        <v>683</v>
      </c>
      <c r="B352" s="584">
        <f>IF(assumptions!F42="deferred",0,assumptions!F42)</f>
        <v>0</v>
      </c>
    </row>
    <row r="353" spans="1:31" outlineLevel="2">
      <c r="A353" s="586" t="s">
        <v>684</v>
      </c>
      <c r="B353" s="584">
        <f>B350*(B351/12)</f>
        <v>0</v>
      </c>
    </row>
    <row r="354" spans="1:31" outlineLevel="2">
      <c r="A354" s="586" t="s">
        <v>685</v>
      </c>
      <c r="B354" s="584">
        <f>B353*12</f>
        <v>0</v>
      </c>
    </row>
    <row r="355" spans="1:31" outlineLevel="2">
      <c r="A355" s="590"/>
    </row>
    <row r="356" spans="1:31" outlineLevel="2">
      <c r="A356" s="588" t="s">
        <v>686</v>
      </c>
      <c r="B356" s="589">
        <v>1</v>
      </c>
      <c r="C356" s="589">
        <f t="shared" ref="C356" si="1041">B356+1</f>
        <v>2</v>
      </c>
      <c r="D356" s="589">
        <f t="shared" ref="D356" si="1042">C356+1</f>
        <v>3</v>
      </c>
      <c r="E356" s="589">
        <f t="shared" ref="E356" si="1043">D356+1</f>
        <v>4</v>
      </c>
      <c r="F356" s="589">
        <f t="shared" ref="F356" si="1044">E356+1</f>
        <v>5</v>
      </c>
      <c r="G356" s="589">
        <f t="shared" ref="G356" si="1045">F356+1</f>
        <v>6</v>
      </c>
      <c r="H356" s="589">
        <f t="shared" ref="H356" si="1046">G356+1</f>
        <v>7</v>
      </c>
      <c r="I356" s="589">
        <f t="shared" ref="I356" si="1047">H356+1</f>
        <v>8</v>
      </c>
      <c r="J356" s="589">
        <f t="shared" ref="J356" si="1048">I356+1</f>
        <v>9</v>
      </c>
      <c r="K356" s="589">
        <f t="shared" ref="K356" si="1049">J356+1</f>
        <v>10</v>
      </c>
      <c r="L356" s="589">
        <f t="shared" ref="L356" si="1050">K356+1</f>
        <v>11</v>
      </c>
      <c r="M356" s="589">
        <f t="shared" ref="M356" si="1051">L356+1</f>
        <v>12</v>
      </c>
      <c r="N356" s="589">
        <f t="shared" ref="N356" si="1052">M356+1</f>
        <v>13</v>
      </c>
      <c r="O356" s="589">
        <f t="shared" ref="O356" si="1053">N356+1</f>
        <v>14</v>
      </c>
      <c r="P356" s="589">
        <f t="shared" ref="P356" si="1054">O356+1</f>
        <v>15</v>
      </c>
      <c r="Q356" s="589">
        <f t="shared" ref="Q356" si="1055">P356+1</f>
        <v>16</v>
      </c>
      <c r="R356" s="589">
        <f t="shared" ref="R356" si="1056">Q356+1</f>
        <v>17</v>
      </c>
      <c r="S356" s="589">
        <f t="shared" ref="S356" si="1057">R356+1</f>
        <v>18</v>
      </c>
      <c r="T356" s="589">
        <f t="shared" ref="T356" si="1058">S356+1</f>
        <v>19</v>
      </c>
      <c r="U356" s="589">
        <f t="shared" ref="U356" si="1059">T356+1</f>
        <v>20</v>
      </c>
      <c r="V356" s="589">
        <f t="shared" ref="V356" si="1060">U356+1</f>
        <v>21</v>
      </c>
      <c r="W356" s="589">
        <f t="shared" ref="W356" si="1061">V356+1</f>
        <v>22</v>
      </c>
      <c r="X356" s="589">
        <f t="shared" ref="X356" si="1062">W356+1</f>
        <v>23</v>
      </c>
      <c r="Y356" s="589">
        <f t="shared" ref="Y356" si="1063">X356+1</f>
        <v>24</v>
      </c>
      <c r="Z356" s="589">
        <f t="shared" ref="Z356" si="1064">Y356+1</f>
        <v>25</v>
      </c>
      <c r="AA356" s="589">
        <f t="shared" ref="AA356" si="1065">Z356+1</f>
        <v>26</v>
      </c>
      <c r="AB356" s="589">
        <f t="shared" ref="AB356" si="1066">AA356+1</f>
        <v>27</v>
      </c>
      <c r="AC356" s="589">
        <f t="shared" ref="AC356" si="1067">AB356+1</f>
        <v>28</v>
      </c>
      <c r="AD356" s="589">
        <f t="shared" ref="AD356" si="1068">AC356+1</f>
        <v>29</v>
      </c>
      <c r="AE356" s="589">
        <f t="shared" ref="AE356" si="1069">AD356+1</f>
        <v>30</v>
      </c>
    </row>
    <row r="357" spans="1:31" outlineLevel="2">
      <c r="A357" s="590" t="s">
        <v>687</v>
      </c>
      <c r="B357" s="584">
        <f>B350</f>
        <v>0</v>
      </c>
      <c r="C357" s="584">
        <f>B358</f>
        <v>0</v>
      </c>
      <c r="D357" s="584">
        <f t="shared" ref="D357" si="1070">C358</f>
        <v>0</v>
      </c>
      <c r="E357" s="584">
        <f t="shared" ref="E357" si="1071">D358</f>
        <v>0</v>
      </c>
      <c r="F357" s="584">
        <f t="shared" ref="F357" si="1072">E358</f>
        <v>0</v>
      </c>
      <c r="G357" s="584">
        <f t="shared" ref="G357" si="1073">F358</f>
        <v>0</v>
      </c>
      <c r="H357" s="584">
        <f t="shared" ref="H357" si="1074">G358</f>
        <v>0</v>
      </c>
      <c r="I357" s="584">
        <f t="shared" ref="I357" si="1075">H358</f>
        <v>0</v>
      </c>
      <c r="J357" s="584">
        <f t="shared" ref="J357" si="1076">I358</f>
        <v>0</v>
      </c>
      <c r="K357" s="584">
        <f t="shared" ref="K357" si="1077">J358</f>
        <v>0</v>
      </c>
      <c r="L357" s="584">
        <f t="shared" ref="L357" si="1078">K358</f>
        <v>0</v>
      </c>
      <c r="M357" s="584">
        <f t="shared" ref="M357" si="1079">L358</f>
        <v>0</v>
      </c>
      <c r="N357" s="584">
        <f t="shared" ref="N357" si="1080">M358</f>
        <v>0</v>
      </c>
      <c r="O357" s="584">
        <f t="shared" ref="O357" si="1081">N358</f>
        <v>0</v>
      </c>
      <c r="P357" s="584">
        <f t="shared" ref="P357" si="1082">O358</f>
        <v>0</v>
      </c>
      <c r="Q357" s="584">
        <f t="shared" ref="Q357" si="1083">P358</f>
        <v>0</v>
      </c>
      <c r="R357" s="584">
        <f t="shared" ref="R357" si="1084">Q358</f>
        <v>0</v>
      </c>
      <c r="S357" s="584">
        <f t="shared" ref="S357" si="1085">R358</f>
        <v>0</v>
      </c>
      <c r="T357" s="584">
        <f t="shared" ref="T357" si="1086">S358</f>
        <v>0</v>
      </c>
      <c r="U357" s="584">
        <f t="shared" ref="U357" si="1087">T358</f>
        <v>0</v>
      </c>
      <c r="V357" s="584">
        <f t="shared" ref="V357" si="1088">U358</f>
        <v>0</v>
      </c>
      <c r="W357" s="584">
        <f t="shared" ref="W357" si="1089">V358</f>
        <v>0</v>
      </c>
      <c r="X357" s="584">
        <f t="shared" ref="X357" si="1090">W358</f>
        <v>0</v>
      </c>
      <c r="Y357" s="584">
        <f t="shared" ref="Y357" si="1091">X358</f>
        <v>0</v>
      </c>
      <c r="Z357" s="584">
        <f t="shared" ref="Z357" si="1092">Y358</f>
        <v>0</v>
      </c>
      <c r="AA357" s="584">
        <f t="shared" ref="AA357" si="1093">Z358</f>
        <v>0</v>
      </c>
      <c r="AB357" s="584">
        <f t="shared" ref="AB357" si="1094">AA358</f>
        <v>0</v>
      </c>
      <c r="AC357" s="584">
        <f t="shared" ref="AC357" si="1095">AB358</f>
        <v>0</v>
      </c>
      <c r="AD357" s="584">
        <f t="shared" ref="AD357" si="1096">AC358</f>
        <v>0</v>
      </c>
      <c r="AE357" s="584">
        <f t="shared" ref="AE357" si="1097">AD358</f>
        <v>0</v>
      </c>
    </row>
    <row r="358" spans="1:31" outlineLevel="2">
      <c r="A358" s="590" t="s">
        <v>688</v>
      </c>
      <c r="B358" s="584">
        <f>B357-B359</f>
        <v>0</v>
      </c>
      <c r="C358" s="584">
        <f t="shared" ref="C358" si="1098">C357-C359</f>
        <v>0</v>
      </c>
      <c r="D358" s="584">
        <f t="shared" ref="D358" si="1099">D357-D359</f>
        <v>0</v>
      </c>
      <c r="E358" s="584">
        <f>E357-E359</f>
        <v>0</v>
      </c>
      <c r="F358" s="584">
        <f t="shared" ref="F358" si="1100">F357-F359</f>
        <v>0</v>
      </c>
      <c r="G358" s="584">
        <f t="shared" ref="G358" si="1101">G357-G359</f>
        <v>0</v>
      </c>
      <c r="H358" s="584">
        <f t="shared" ref="H358" si="1102">H357-H359</f>
        <v>0</v>
      </c>
      <c r="I358" s="584">
        <f t="shared" ref="I358" si="1103">I357-I359</f>
        <v>0</v>
      </c>
      <c r="J358" s="584">
        <f t="shared" ref="J358" si="1104">J357-J359</f>
        <v>0</v>
      </c>
      <c r="K358" s="584">
        <f t="shared" ref="K358" si="1105">K357-K359</f>
        <v>0</v>
      </c>
      <c r="L358" s="584">
        <f t="shared" ref="L358" si="1106">L357-L359</f>
        <v>0</v>
      </c>
      <c r="M358" s="584">
        <f t="shared" ref="M358" si="1107">M357-M359</f>
        <v>0</v>
      </c>
      <c r="N358" s="584">
        <f t="shared" ref="N358" si="1108">N357-N359</f>
        <v>0</v>
      </c>
      <c r="O358" s="584">
        <f t="shared" ref="O358" si="1109">O357-O359</f>
        <v>0</v>
      </c>
      <c r="P358" s="584">
        <f t="shared" ref="P358" si="1110">P357-P359</f>
        <v>0</v>
      </c>
      <c r="Q358" s="584">
        <f t="shared" ref="Q358" si="1111">Q357-Q359</f>
        <v>0</v>
      </c>
      <c r="R358" s="584">
        <f t="shared" ref="R358" si="1112">R357-R359</f>
        <v>0</v>
      </c>
      <c r="S358" s="584">
        <f t="shared" ref="S358" si="1113">S357-S359</f>
        <v>0</v>
      </c>
      <c r="T358" s="584">
        <f t="shared" ref="T358" si="1114">T357-T359</f>
        <v>0</v>
      </c>
      <c r="U358" s="584">
        <f t="shared" ref="U358" si="1115">U357-U359</f>
        <v>0</v>
      </c>
      <c r="V358" s="584">
        <f t="shared" ref="V358" si="1116">V357-V359</f>
        <v>0</v>
      </c>
      <c r="W358" s="584">
        <f t="shared" ref="W358" si="1117">W357-W359</f>
        <v>0</v>
      </c>
      <c r="X358" s="584">
        <f t="shared" ref="X358" si="1118">X357-X359</f>
        <v>0</v>
      </c>
      <c r="Y358" s="584">
        <f t="shared" ref="Y358" si="1119">Y357-Y359</f>
        <v>0</v>
      </c>
      <c r="Z358" s="584">
        <f t="shared" ref="Z358" si="1120">Z357-Z359</f>
        <v>0</v>
      </c>
      <c r="AA358" s="584">
        <f t="shared" ref="AA358" si="1121">AA357-AA359</f>
        <v>0</v>
      </c>
      <c r="AB358" s="584">
        <f t="shared" ref="AB358" si="1122">AB357-AB359</f>
        <v>0</v>
      </c>
      <c r="AC358" s="584">
        <f t="shared" ref="AC358" si="1123">AC357-AC359</f>
        <v>0</v>
      </c>
      <c r="AD358" s="584">
        <f t="shared" ref="AD358" si="1124">AD357-AD359</f>
        <v>0</v>
      </c>
      <c r="AE358" s="584">
        <f t="shared" ref="AE358" si="1125">AE357-AE359</f>
        <v>0</v>
      </c>
    </row>
    <row r="359" spans="1:31" outlineLevel="2">
      <c r="A359" s="590" t="s">
        <v>680</v>
      </c>
      <c r="B359" s="584">
        <f>IF($B352=B356,B357,0)</f>
        <v>0</v>
      </c>
      <c r="C359" s="584">
        <f t="shared" ref="C359:D359" si="1126">IF($B352=C356,C357,0)</f>
        <v>0</v>
      </c>
      <c r="D359" s="584">
        <f t="shared" si="1126"/>
        <v>0</v>
      </c>
      <c r="E359" s="584">
        <f>IF($B352=E356,E357,0)</f>
        <v>0</v>
      </c>
      <c r="F359" s="584">
        <f t="shared" ref="F359:AE359" si="1127">IF($B352=F356,F357,0)</f>
        <v>0</v>
      </c>
      <c r="G359" s="584">
        <f t="shared" si="1127"/>
        <v>0</v>
      </c>
      <c r="H359" s="584">
        <f t="shared" si="1127"/>
        <v>0</v>
      </c>
      <c r="I359" s="584">
        <f t="shared" si="1127"/>
        <v>0</v>
      </c>
      <c r="J359" s="584">
        <f t="shared" si="1127"/>
        <v>0</v>
      </c>
      <c r="K359" s="584">
        <f t="shared" si="1127"/>
        <v>0</v>
      </c>
      <c r="L359" s="584">
        <f t="shared" si="1127"/>
        <v>0</v>
      </c>
      <c r="M359" s="584">
        <f t="shared" si="1127"/>
        <v>0</v>
      </c>
      <c r="N359" s="584">
        <f t="shared" si="1127"/>
        <v>0</v>
      </c>
      <c r="O359" s="584">
        <f t="shared" si="1127"/>
        <v>0</v>
      </c>
      <c r="P359" s="584">
        <f t="shared" si="1127"/>
        <v>0</v>
      </c>
      <c r="Q359" s="584">
        <f t="shared" si="1127"/>
        <v>0</v>
      </c>
      <c r="R359" s="584">
        <f t="shared" si="1127"/>
        <v>0</v>
      </c>
      <c r="S359" s="584">
        <f t="shared" si="1127"/>
        <v>0</v>
      </c>
      <c r="T359" s="584">
        <f t="shared" si="1127"/>
        <v>0</v>
      </c>
      <c r="U359" s="584">
        <f t="shared" si="1127"/>
        <v>0</v>
      </c>
      <c r="V359" s="584">
        <f t="shared" si="1127"/>
        <v>0</v>
      </c>
      <c r="W359" s="584">
        <f t="shared" si="1127"/>
        <v>0</v>
      </c>
      <c r="X359" s="584">
        <f t="shared" si="1127"/>
        <v>0</v>
      </c>
      <c r="Y359" s="584">
        <f t="shared" si="1127"/>
        <v>0</v>
      </c>
      <c r="Z359" s="584">
        <f t="shared" si="1127"/>
        <v>0</v>
      </c>
      <c r="AA359" s="584">
        <f t="shared" si="1127"/>
        <v>0</v>
      </c>
      <c r="AB359" s="584">
        <f t="shared" si="1127"/>
        <v>0</v>
      </c>
      <c r="AC359" s="584">
        <f t="shared" si="1127"/>
        <v>0</v>
      </c>
      <c r="AD359" s="584">
        <f t="shared" si="1127"/>
        <v>0</v>
      </c>
      <c r="AE359" s="584">
        <f t="shared" si="1127"/>
        <v>0</v>
      </c>
    </row>
    <row r="360" spans="1:31" outlineLevel="2">
      <c r="A360" s="590" t="s">
        <v>681</v>
      </c>
      <c r="B360" s="584">
        <f>IF($B352&gt;=B356,B357*$B351,0)</f>
        <v>0</v>
      </c>
      <c r="C360" s="584">
        <f t="shared" ref="C360:AE360" si="1128">IF($B352&gt;=C356,C357*$B351,0)</f>
        <v>0</v>
      </c>
      <c r="D360" s="584">
        <f t="shared" si="1128"/>
        <v>0</v>
      </c>
      <c r="E360" s="584">
        <f t="shared" si="1128"/>
        <v>0</v>
      </c>
      <c r="F360" s="584">
        <f t="shared" si="1128"/>
        <v>0</v>
      </c>
      <c r="G360" s="584">
        <f t="shared" si="1128"/>
        <v>0</v>
      </c>
      <c r="H360" s="584">
        <f t="shared" si="1128"/>
        <v>0</v>
      </c>
      <c r="I360" s="584">
        <f t="shared" si="1128"/>
        <v>0</v>
      </c>
      <c r="J360" s="584">
        <f t="shared" si="1128"/>
        <v>0</v>
      </c>
      <c r="K360" s="584">
        <f t="shared" si="1128"/>
        <v>0</v>
      </c>
      <c r="L360" s="584">
        <f t="shared" si="1128"/>
        <v>0</v>
      </c>
      <c r="M360" s="584">
        <f t="shared" si="1128"/>
        <v>0</v>
      </c>
      <c r="N360" s="584">
        <f t="shared" si="1128"/>
        <v>0</v>
      </c>
      <c r="O360" s="584">
        <f t="shared" si="1128"/>
        <v>0</v>
      </c>
      <c r="P360" s="584">
        <f t="shared" si="1128"/>
        <v>0</v>
      </c>
      <c r="Q360" s="584">
        <f t="shared" si="1128"/>
        <v>0</v>
      </c>
      <c r="R360" s="584">
        <f t="shared" si="1128"/>
        <v>0</v>
      </c>
      <c r="S360" s="584">
        <f t="shared" si="1128"/>
        <v>0</v>
      </c>
      <c r="T360" s="584">
        <f t="shared" si="1128"/>
        <v>0</v>
      </c>
      <c r="U360" s="584">
        <f t="shared" si="1128"/>
        <v>0</v>
      </c>
      <c r="V360" s="584">
        <f t="shared" si="1128"/>
        <v>0</v>
      </c>
      <c r="W360" s="584">
        <f t="shared" si="1128"/>
        <v>0</v>
      </c>
      <c r="X360" s="584">
        <f t="shared" si="1128"/>
        <v>0</v>
      </c>
      <c r="Y360" s="584">
        <f t="shared" si="1128"/>
        <v>0</v>
      </c>
      <c r="Z360" s="584">
        <f t="shared" si="1128"/>
        <v>0</v>
      </c>
      <c r="AA360" s="584">
        <f t="shared" si="1128"/>
        <v>0</v>
      </c>
      <c r="AB360" s="584">
        <f t="shared" si="1128"/>
        <v>0</v>
      </c>
      <c r="AC360" s="584">
        <f t="shared" si="1128"/>
        <v>0</v>
      </c>
      <c r="AD360" s="584">
        <f t="shared" si="1128"/>
        <v>0</v>
      </c>
      <c r="AE360" s="584">
        <f t="shared" si="1128"/>
        <v>0</v>
      </c>
    </row>
    <row r="361" spans="1:31" outlineLevel="2">
      <c r="A361" s="590" t="s">
        <v>689</v>
      </c>
      <c r="B361" s="584">
        <f>B359+B360</f>
        <v>0</v>
      </c>
      <c r="C361" s="584">
        <f t="shared" ref="C361:D361" si="1129">C359+C360</f>
        <v>0</v>
      </c>
      <c r="D361" s="584">
        <f t="shared" si="1129"/>
        <v>0</v>
      </c>
      <c r="E361" s="584">
        <f>E359+E360</f>
        <v>0</v>
      </c>
      <c r="F361" s="584">
        <f t="shared" ref="F361:AE361" si="1130">F359+F360</f>
        <v>0</v>
      </c>
      <c r="G361" s="584">
        <f t="shared" si="1130"/>
        <v>0</v>
      </c>
      <c r="H361" s="584">
        <f t="shared" si="1130"/>
        <v>0</v>
      </c>
      <c r="I361" s="584">
        <f t="shared" si="1130"/>
        <v>0</v>
      </c>
      <c r="J361" s="584">
        <f t="shared" si="1130"/>
        <v>0</v>
      </c>
      <c r="K361" s="584">
        <f t="shared" si="1130"/>
        <v>0</v>
      </c>
      <c r="L361" s="584">
        <f t="shared" si="1130"/>
        <v>0</v>
      </c>
      <c r="M361" s="584">
        <f t="shared" si="1130"/>
        <v>0</v>
      </c>
      <c r="N361" s="584">
        <f t="shared" si="1130"/>
        <v>0</v>
      </c>
      <c r="O361" s="584">
        <f t="shared" si="1130"/>
        <v>0</v>
      </c>
      <c r="P361" s="584">
        <f t="shared" si="1130"/>
        <v>0</v>
      </c>
      <c r="Q361" s="584">
        <f t="shared" si="1130"/>
        <v>0</v>
      </c>
      <c r="R361" s="584">
        <f t="shared" si="1130"/>
        <v>0</v>
      </c>
      <c r="S361" s="584">
        <f t="shared" si="1130"/>
        <v>0</v>
      </c>
      <c r="T361" s="584">
        <f t="shared" si="1130"/>
        <v>0</v>
      </c>
      <c r="U361" s="584">
        <f t="shared" si="1130"/>
        <v>0</v>
      </c>
      <c r="V361" s="584">
        <f t="shared" si="1130"/>
        <v>0</v>
      </c>
      <c r="W361" s="584">
        <f t="shared" si="1130"/>
        <v>0</v>
      </c>
      <c r="X361" s="584">
        <f t="shared" si="1130"/>
        <v>0</v>
      </c>
      <c r="Y361" s="584">
        <f t="shared" si="1130"/>
        <v>0</v>
      </c>
      <c r="Z361" s="584">
        <f t="shared" si="1130"/>
        <v>0</v>
      </c>
      <c r="AA361" s="584">
        <f t="shared" si="1130"/>
        <v>0</v>
      </c>
      <c r="AB361" s="584">
        <f t="shared" si="1130"/>
        <v>0</v>
      </c>
      <c r="AC361" s="584">
        <f t="shared" si="1130"/>
        <v>0</v>
      </c>
      <c r="AD361" s="584">
        <f t="shared" si="1130"/>
        <v>0</v>
      </c>
      <c r="AE361" s="584">
        <f t="shared" si="1130"/>
        <v>0</v>
      </c>
    </row>
    <row r="362" spans="1:31" outlineLevel="1">
      <c r="A362" s="590"/>
    </row>
    <row r="363" spans="1:31" outlineLevel="2">
      <c r="A363" s="585" t="str">
        <f>assumptions!A43</f>
        <v>[Additional Field - Specify] (Non-Amortizing)</v>
      </c>
    </row>
    <row r="364" spans="1:31" outlineLevel="2">
      <c r="A364" s="590"/>
    </row>
    <row r="365" spans="1:31" outlineLevel="2">
      <c r="A365" s="586" t="s">
        <v>680</v>
      </c>
      <c r="B365" s="584">
        <f>assumptions!B43</f>
        <v>0</v>
      </c>
    </row>
    <row r="366" spans="1:31" outlineLevel="2">
      <c r="A366" s="586" t="s">
        <v>681</v>
      </c>
      <c r="B366" s="134">
        <f>assumptions!D43</f>
        <v>0</v>
      </c>
    </row>
    <row r="367" spans="1:31" outlineLevel="2">
      <c r="A367" s="586" t="s">
        <v>683</v>
      </c>
      <c r="B367" s="584">
        <f>IF(assumptions!F43="deferred",0,assumptions!F43)</f>
        <v>0</v>
      </c>
    </row>
    <row r="368" spans="1:31" outlineLevel="2">
      <c r="A368" s="586" t="s">
        <v>684</v>
      </c>
      <c r="B368" s="584">
        <f>B365*(B366/12)</f>
        <v>0</v>
      </c>
    </row>
    <row r="369" spans="1:31" outlineLevel="2">
      <c r="A369" s="586" t="s">
        <v>685</v>
      </c>
      <c r="B369" s="584">
        <f>B368*12</f>
        <v>0</v>
      </c>
    </row>
    <row r="370" spans="1:31" outlineLevel="2">
      <c r="A370" s="590"/>
    </row>
    <row r="371" spans="1:31" outlineLevel="2">
      <c r="A371" s="588" t="s">
        <v>686</v>
      </c>
      <c r="B371" s="589">
        <v>1</v>
      </c>
      <c r="C371" s="589">
        <f t="shared" ref="C371" si="1131">B371+1</f>
        <v>2</v>
      </c>
      <c r="D371" s="589">
        <f t="shared" ref="D371" si="1132">C371+1</f>
        <v>3</v>
      </c>
      <c r="E371" s="589">
        <f t="shared" ref="E371" si="1133">D371+1</f>
        <v>4</v>
      </c>
      <c r="F371" s="589">
        <f t="shared" ref="F371" si="1134">E371+1</f>
        <v>5</v>
      </c>
      <c r="G371" s="589">
        <f t="shared" ref="G371" si="1135">F371+1</f>
        <v>6</v>
      </c>
      <c r="H371" s="589">
        <f t="shared" ref="H371" si="1136">G371+1</f>
        <v>7</v>
      </c>
      <c r="I371" s="589">
        <f t="shared" ref="I371" si="1137">H371+1</f>
        <v>8</v>
      </c>
      <c r="J371" s="589">
        <f t="shared" ref="J371" si="1138">I371+1</f>
        <v>9</v>
      </c>
      <c r="K371" s="589">
        <f t="shared" ref="K371" si="1139">J371+1</f>
        <v>10</v>
      </c>
      <c r="L371" s="589">
        <f t="shared" ref="L371" si="1140">K371+1</f>
        <v>11</v>
      </c>
      <c r="M371" s="589">
        <f t="shared" ref="M371" si="1141">L371+1</f>
        <v>12</v>
      </c>
      <c r="N371" s="589">
        <f t="shared" ref="N371" si="1142">M371+1</f>
        <v>13</v>
      </c>
      <c r="O371" s="589">
        <f t="shared" ref="O371" si="1143">N371+1</f>
        <v>14</v>
      </c>
      <c r="P371" s="589">
        <f t="shared" ref="P371" si="1144">O371+1</f>
        <v>15</v>
      </c>
      <c r="Q371" s="589">
        <f t="shared" ref="Q371" si="1145">P371+1</f>
        <v>16</v>
      </c>
      <c r="R371" s="589">
        <f t="shared" ref="R371" si="1146">Q371+1</f>
        <v>17</v>
      </c>
      <c r="S371" s="589">
        <f t="shared" ref="S371" si="1147">R371+1</f>
        <v>18</v>
      </c>
      <c r="T371" s="589">
        <f t="shared" ref="T371" si="1148">S371+1</f>
        <v>19</v>
      </c>
      <c r="U371" s="589">
        <f t="shared" ref="U371" si="1149">T371+1</f>
        <v>20</v>
      </c>
      <c r="V371" s="589">
        <f t="shared" ref="V371" si="1150">U371+1</f>
        <v>21</v>
      </c>
      <c r="W371" s="589">
        <f t="shared" ref="W371" si="1151">V371+1</f>
        <v>22</v>
      </c>
      <c r="X371" s="589">
        <f t="shared" ref="X371" si="1152">W371+1</f>
        <v>23</v>
      </c>
      <c r="Y371" s="589">
        <f t="shared" ref="Y371" si="1153">X371+1</f>
        <v>24</v>
      </c>
      <c r="Z371" s="589">
        <f t="shared" ref="Z371" si="1154">Y371+1</f>
        <v>25</v>
      </c>
      <c r="AA371" s="589">
        <f t="shared" ref="AA371" si="1155">Z371+1</f>
        <v>26</v>
      </c>
      <c r="AB371" s="589">
        <f t="shared" ref="AB371" si="1156">AA371+1</f>
        <v>27</v>
      </c>
      <c r="AC371" s="589">
        <f t="shared" ref="AC371" si="1157">AB371+1</f>
        <v>28</v>
      </c>
      <c r="AD371" s="589">
        <f t="shared" ref="AD371" si="1158">AC371+1</f>
        <v>29</v>
      </c>
      <c r="AE371" s="589">
        <f t="shared" ref="AE371" si="1159">AD371+1</f>
        <v>30</v>
      </c>
    </row>
    <row r="372" spans="1:31" outlineLevel="2">
      <c r="A372" s="590" t="s">
        <v>687</v>
      </c>
      <c r="B372" s="584">
        <f>B365</f>
        <v>0</v>
      </c>
      <c r="C372" s="584">
        <f>B373</f>
        <v>0</v>
      </c>
      <c r="D372" s="584">
        <f t="shared" ref="D372" si="1160">C373</f>
        <v>0</v>
      </c>
      <c r="E372" s="584">
        <f t="shared" ref="E372" si="1161">D373</f>
        <v>0</v>
      </c>
      <c r="F372" s="584">
        <f t="shared" ref="F372" si="1162">E373</f>
        <v>0</v>
      </c>
      <c r="G372" s="584">
        <f t="shared" ref="G372" si="1163">F373</f>
        <v>0</v>
      </c>
      <c r="H372" s="584">
        <f t="shared" ref="H372" si="1164">G373</f>
        <v>0</v>
      </c>
      <c r="I372" s="584">
        <f t="shared" ref="I372" si="1165">H373</f>
        <v>0</v>
      </c>
      <c r="J372" s="584">
        <f t="shared" ref="J372" si="1166">I373</f>
        <v>0</v>
      </c>
      <c r="K372" s="584">
        <f t="shared" ref="K372" si="1167">J373</f>
        <v>0</v>
      </c>
      <c r="L372" s="584">
        <f t="shared" ref="L372" si="1168">K373</f>
        <v>0</v>
      </c>
      <c r="M372" s="584">
        <f t="shared" ref="M372" si="1169">L373</f>
        <v>0</v>
      </c>
      <c r="N372" s="584">
        <f t="shared" ref="N372" si="1170">M373</f>
        <v>0</v>
      </c>
      <c r="O372" s="584">
        <f t="shared" ref="O372" si="1171">N373</f>
        <v>0</v>
      </c>
      <c r="P372" s="584">
        <f t="shared" ref="P372" si="1172">O373</f>
        <v>0</v>
      </c>
      <c r="Q372" s="584">
        <f t="shared" ref="Q372" si="1173">P373</f>
        <v>0</v>
      </c>
      <c r="R372" s="584">
        <f t="shared" ref="R372" si="1174">Q373</f>
        <v>0</v>
      </c>
      <c r="S372" s="584">
        <f t="shared" ref="S372" si="1175">R373</f>
        <v>0</v>
      </c>
      <c r="T372" s="584">
        <f t="shared" ref="T372" si="1176">S373</f>
        <v>0</v>
      </c>
      <c r="U372" s="584">
        <f t="shared" ref="U372" si="1177">T373</f>
        <v>0</v>
      </c>
      <c r="V372" s="584">
        <f t="shared" ref="V372" si="1178">U373</f>
        <v>0</v>
      </c>
      <c r="W372" s="584">
        <f t="shared" ref="W372" si="1179">V373</f>
        <v>0</v>
      </c>
      <c r="X372" s="584">
        <f t="shared" ref="X372" si="1180">W373</f>
        <v>0</v>
      </c>
      <c r="Y372" s="584">
        <f t="shared" ref="Y372" si="1181">X373</f>
        <v>0</v>
      </c>
      <c r="Z372" s="584">
        <f t="shared" ref="Z372" si="1182">Y373</f>
        <v>0</v>
      </c>
      <c r="AA372" s="584">
        <f t="shared" ref="AA372" si="1183">Z373</f>
        <v>0</v>
      </c>
      <c r="AB372" s="584">
        <f t="shared" ref="AB372" si="1184">AA373</f>
        <v>0</v>
      </c>
      <c r="AC372" s="584">
        <f t="shared" ref="AC372" si="1185">AB373</f>
        <v>0</v>
      </c>
      <c r="AD372" s="584">
        <f t="shared" ref="AD372" si="1186">AC373</f>
        <v>0</v>
      </c>
      <c r="AE372" s="584">
        <f t="shared" ref="AE372" si="1187">AD373</f>
        <v>0</v>
      </c>
    </row>
    <row r="373" spans="1:31" outlineLevel="2">
      <c r="A373" s="590" t="s">
        <v>688</v>
      </c>
      <c r="B373" s="584">
        <f>B372-B374</f>
        <v>0</v>
      </c>
      <c r="C373" s="584">
        <f t="shared" ref="C373" si="1188">C372-C374</f>
        <v>0</v>
      </c>
      <c r="D373" s="584">
        <f t="shared" ref="D373" si="1189">D372-D374</f>
        <v>0</v>
      </c>
      <c r="E373" s="584">
        <f>E372-E374</f>
        <v>0</v>
      </c>
      <c r="F373" s="584">
        <f t="shared" ref="F373" si="1190">F372-F374</f>
        <v>0</v>
      </c>
      <c r="G373" s="584">
        <f t="shared" ref="G373" si="1191">G372-G374</f>
        <v>0</v>
      </c>
      <c r="H373" s="584">
        <f t="shared" ref="H373" si="1192">H372-H374</f>
        <v>0</v>
      </c>
      <c r="I373" s="584">
        <f t="shared" ref="I373" si="1193">I372-I374</f>
        <v>0</v>
      </c>
      <c r="J373" s="584">
        <f t="shared" ref="J373" si="1194">J372-J374</f>
        <v>0</v>
      </c>
      <c r="K373" s="584">
        <f t="shared" ref="K373" si="1195">K372-K374</f>
        <v>0</v>
      </c>
      <c r="L373" s="584">
        <f t="shared" ref="L373" si="1196">L372-L374</f>
        <v>0</v>
      </c>
      <c r="M373" s="584">
        <f t="shared" ref="M373" si="1197">M372-M374</f>
        <v>0</v>
      </c>
      <c r="N373" s="584">
        <f t="shared" ref="N373" si="1198">N372-N374</f>
        <v>0</v>
      </c>
      <c r="O373" s="584">
        <f t="shared" ref="O373" si="1199">O372-O374</f>
        <v>0</v>
      </c>
      <c r="P373" s="584">
        <f t="shared" ref="P373" si="1200">P372-P374</f>
        <v>0</v>
      </c>
      <c r="Q373" s="584">
        <f t="shared" ref="Q373" si="1201">Q372-Q374</f>
        <v>0</v>
      </c>
      <c r="R373" s="584">
        <f t="shared" ref="R373" si="1202">R372-R374</f>
        <v>0</v>
      </c>
      <c r="S373" s="584">
        <f t="shared" ref="S373" si="1203">S372-S374</f>
        <v>0</v>
      </c>
      <c r="T373" s="584">
        <f t="shared" ref="T373" si="1204">T372-T374</f>
        <v>0</v>
      </c>
      <c r="U373" s="584">
        <f t="shared" ref="U373" si="1205">U372-U374</f>
        <v>0</v>
      </c>
      <c r="V373" s="584">
        <f t="shared" ref="V373" si="1206">V372-V374</f>
        <v>0</v>
      </c>
      <c r="W373" s="584">
        <f t="shared" ref="W373" si="1207">W372-W374</f>
        <v>0</v>
      </c>
      <c r="X373" s="584">
        <f t="shared" ref="X373" si="1208">X372-X374</f>
        <v>0</v>
      </c>
      <c r="Y373" s="584">
        <f t="shared" ref="Y373" si="1209">Y372-Y374</f>
        <v>0</v>
      </c>
      <c r="Z373" s="584">
        <f t="shared" ref="Z373" si="1210">Z372-Z374</f>
        <v>0</v>
      </c>
      <c r="AA373" s="584">
        <f t="shared" ref="AA373" si="1211">AA372-AA374</f>
        <v>0</v>
      </c>
      <c r="AB373" s="584">
        <f t="shared" ref="AB373" si="1212">AB372-AB374</f>
        <v>0</v>
      </c>
      <c r="AC373" s="584">
        <f t="shared" ref="AC373" si="1213">AC372-AC374</f>
        <v>0</v>
      </c>
      <c r="AD373" s="584">
        <f t="shared" ref="AD373" si="1214">AD372-AD374</f>
        <v>0</v>
      </c>
      <c r="AE373" s="584">
        <f t="shared" ref="AE373" si="1215">AE372-AE374</f>
        <v>0</v>
      </c>
    </row>
    <row r="374" spans="1:31" outlineLevel="2">
      <c r="A374" s="590" t="s">
        <v>680</v>
      </c>
      <c r="B374" s="584">
        <f>IF($B367=B371,B372,0)</f>
        <v>0</v>
      </c>
      <c r="C374" s="584">
        <f>IF($B367=C371,C372,0)</f>
        <v>0</v>
      </c>
      <c r="D374" s="584">
        <f>IF($B367=D371,D372,0)</f>
        <v>0</v>
      </c>
      <c r="E374" s="584">
        <f>IF($B367=E371,E372,0)</f>
        <v>0</v>
      </c>
      <c r="F374" s="584">
        <f t="shared" ref="F374:AE374" si="1216">IF($B367=F371,F372,0)</f>
        <v>0</v>
      </c>
      <c r="G374" s="584">
        <f t="shared" si="1216"/>
        <v>0</v>
      </c>
      <c r="H374" s="584">
        <f t="shared" si="1216"/>
        <v>0</v>
      </c>
      <c r="I374" s="584">
        <f t="shared" si="1216"/>
        <v>0</v>
      </c>
      <c r="J374" s="584">
        <f t="shared" si="1216"/>
        <v>0</v>
      </c>
      <c r="K374" s="584">
        <f t="shared" si="1216"/>
        <v>0</v>
      </c>
      <c r="L374" s="584">
        <f t="shared" si="1216"/>
        <v>0</v>
      </c>
      <c r="M374" s="584">
        <f t="shared" si="1216"/>
        <v>0</v>
      </c>
      <c r="N374" s="584">
        <f t="shared" si="1216"/>
        <v>0</v>
      </c>
      <c r="O374" s="584">
        <f t="shared" si="1216"/>
        <v>0</v>
      </c>
      <c r="P374" s="584">
        <f t="shared" si="1216"/>
        <v>0</v>
      </c>
      <c r="Q374" s="584">
        <f t="shared" si="1216"/>
        <v>0</v>
      </c>
      <c r="R374" s="584">
        <f t="shared" si="1216"/>
        <v>0</v>
      </c>
      <c r="S374" s="584">
        <f t="shared" si="1216"/>
        <v>0</v>
      </c>
      <c r="T374" s="584">
        <f t="shared" si="1216"/>
        <v>0</v>
      </c>
      <c r="U374" s="584">
        <f t="shared" si="1216"/>
        <v>0</v>
      </c>
      <c r="V374" s="584">
        <f t="shared" si="1216"/>
        <v>0</v>
      </c>
      <c r="W374" s="584">
        <f t="shared" si="1216"/>
        <v>0</v>
      </c>
      <c r="X374" s="584">
        <f t="shared" si="1216"/>
        <v>0</v>
      </c>
      <c r="Y374" s="584">
        <f t="shared" si="1216"/>
        <v>0</v>
      </c>
      <c r="Z374" s="584">
        <f t="shared" si="1216"/>
        <v>0</v>
      </c>
      <c r="AA374" s="584">
        <f t="shared" si="1216"/>
        <v>0</v>
      </c>
      <c r="AB374" s="584">
        <f t="shared" si="1216"/>
        <v>0</v>
      </c>
      <c r="AC374" s="584">
        <f t="shared" si="1216"/>
        <v>0</v>
      </c>
      <c r="AD374" s="584">
        <f t="shared" si="1216"/>
        <v>0</v>
      </c>
      <c r="AE374" s="584">
        <f t="shared" si="1216"/>
        <v>0</v>
      </c>
    </row>
    <row r="375" spans="1:31" outlineLevel="2">
      <c r="A375" s="590" t="s">
        <v>681</v>
      </c>
      <c r="B375" s="584">
        <f>IF($B367&gt;=B371,B372*$B366,0)</f>
        <v>0</v>
      </c>
      <c r="C375" s="584">
        <f t="shared" ref="C375:AE375" si="1217">IF($B367&gt;=C371,C372*$B366,0)</f>
        <v>0</v>
      </c>
      <c r="D375" s="584">
        <f t="shared" si="1217"/>
        <v>0</v>
      </c>
      <c r="E375" s="584">
        <f>IF($B367&gt;=E371,E372*$B366,0)</f>
        <v>0</v>
      </c>
      <c r="F375" s="584">
        <f t="shared" si="1217"/>
        <v>0</v>
      </c>
      <c r="G375" s="584">
        <f t="shared" si="1217"/>
        <v>0</v>
      </c>
      <c r="H375" s="584">
        <f t="shared" si="1217"/>
        <v>0</v>
      </c>
      <c r="I375" s="584">
        <f t="shared" si="1217"/>
        <v>0</v>
      </c>
      <c r="J375" s="584">
        <f t="shared" si="1217"/>
        <v>0</v>
      </c>
      <c r="K375" s="584">
        <f t="shared" si="1217"/>
        <v>0</v>
      </c>
      <c r="L375" s="584">
        <f t="shared" si="1217"/>
        <v>0</v>
      </c>
      <c r="M375" s="584">
        <f t="shared" si="1217"/>
        <v>0</v>
      </c>
      <c r="N375" s="584">
        <f t="shared" si="1217"/>
        <v>0</v>
      </c>
      <c r="O375" s="584">
        <f t="shared" si="1217"/>
        <v>0</v>
      </c>
      <c r="P375" s="584">
        <f t="shared" si="1217"/>
        <v>0</v>
      </c>
      <c r="Q375" s="584">
        <f t="shared" si="1217"/>
        <v>0</v>
      </c>
      <c r="R375" s="584">
        <f t="shared" si="1217"/>
        <v>0</v>
      </c>
      <c r="S375" s="584">
        <f t="shared" si="1217"/>
        <v>0</v>
      </c>
      <c r="T375" s="584">
        <f t="shared" si="1217"/>
        <v>0</v>
      </c>
      <c r="U375" s="584">
        <f t="shared" si="1217"/>
        <v>0</v>
      </c>
      <c r="V375" s="584">
        <f t="shared" si="1217"/>
        <v>0</v>
      </c>
      <c r="W375" s="584">
        <f t="shared" si="1217"/>
        <v>0</v>
      </c>
      <c r="X375" s="584">
        <f t="shared" si="1217"/>
        <v>0</v>
      </c>
      <c r="Y375" s="584">
        <f t="shared" si="1217"/>
        <v>0</v>
      </c>
      <c r="Z375" s="584">
        <f t="shared" si="1217"/>
        <v>0</v>
      </c>
      <c r="AA375" s="584">
        <f t="shared" si="1217"/>
        <v>0</v>
      </c>
      <c r="AB375" s="584">
        <f t="shared" si="1217"/>
        <v>0</v>
      </c>
      <c r="AC375" s="584">
        <f t="shared" si="1217"/>
        <v>0</v>
      </c>
      <c r="AD375" s="584">
        <f t="shared" si="1217"/>
        <v>0</v>
      </c>
      <c r="AE375" s="584">
        <f t="shared" si="1217"/>
        <v>0</v>
      </c>
    </row>
    <row r="376" spans="1:31" outlineLevel="2">
      <c r="A376" s="590" t="s">
        <v>689</v>
      </c>
      <c r="B376" s="584">
        <f>B374+B375</f>
        <v>0</v>
      </c>
      <c r="C376" s="584">
        <f t="shared" ref="C376:D376" si="1218">C374+C375</f>
        <v>0</v>
      </c>
      <c r="D376" s="584">
        <f t="shared" si="1218"/>
        <v>0</v>
      </c>
      <c r="E376" s="584">
        <f>E374+E375</f>
        <v>0</v>
      </c>
      <c r="F376" s="584">
        <f t="shared" ref="F376:AE376" si="1219">F374+F375</f>
        <v>0</v>
      </c>
      <c r="G376" s="584">
        <f t="shared" si="1219"/>
        <v>0</v>
      </c>
      <c r="H376" s="584">
        <f t="shared" si="1219"/>
        <v>0</v>
      </c>
      <c r="I376" s="584">
        <f t="shared" si="1219"/>
        <v>0</v>
      </c>
      <c r="J376" s="584">
        <f t="shared" si="1219"/>
        <v>0</v>
      </c>
      <c r="K376" s="584">
        <f t="shared" si="1219"/>
        <v>0</v>
      </c>
      <c r="L376" s="584">
        <f t="shared" si="1219"/>
        <v>0</v>
      </c>
      <c r="M376" s="584">
        <f t="shared" si="1219"/>
        <v>0</v>
      </c>
      <c r="N376" s="584">
        <f t="shared" si="1219"/>
        <v>0</v>
      </c>
      <c r="O376" s="584">
        <f t="shared" si="1219"/>
        <v>0</v>
      </c>
      <c r="P376" s="584">
        <f t="shared" si="1219"/>
        <v>0</v>
      </c>
      <c r="Q376" s="584">
        <f t="shared" si="1219"/>
        <v>0</v>
      </c>
      <c r="R376" s="584">
        <f t="shared" si="1219"/>
        <v>0</v>
      </c>
      <c r="S376" s="584">
        <f t="shared" si="1219"/>
        <v>0</v>
      </c>
      <c r="T376" s="584">
        <f t="shared" si="1219"/>
        <v>0</v>
      </c>
      <c r="U376" s="584">
        <f t="shared" si="1219"/>
        <v>0</v>
      </c>
      <c r="V376" s="584">
        <f t="shared" si="1219"/>
        <v>0</v>
      </c>
      <c r="W376" s="584">
        <f t="shared" si="1219"/>
        <v>0</v>
      </c>
      <c r="X376" s="584">
        <f t="shared" si="1219"/>
        <v>0</v>
      </c>
      <c r="Y376" s="584">
        <f t="shared" si="1219"/>
        <v>0</v>
      </c>
      <c r="Z376" s="584">
        <f t="shared" si="1219"/>
        <v>0</v>
      </c>
      <c r="AA376" s="584">
        <f t="shared" si="1219"/>
        <v>0</v>
      </c>
      <c r="AB376" s="584">
        <f t="shared" si="1219"/>
        <v>0</v>
      </c>
      <c r="AC376" s="584">
        <f t="shared" si="1219"/>
        <v>0</v>
      </c>
      <c r="AD376" s="584">
        <f t="shared" si="1219"/>
        <v>0</v>
      </c>
      <c r="AE376" s="584">
        <f t="shared" si="1219"/>
        <v>0</v>
      </c>
    </row>
    <row r="377" spans="1:31" outlineLevel="1">
      <c r="A377" s="590"/>
    </row>
    <row r="378" spans="1:31" outlineLevel="2">
      <c r="A378" s="585" t="str">
        <f>assumptions!A44</f>
        <v>[Additional Field - Specify] (Non-Amortizing)</v>
      </c>
    </row>
    <row r="379" spans="1:31" outlineLevel="2">
      <c r="A379" s="590"/>
    </row>
    <row r="380" spans="1:31" outlineLevel="2">
      <c r="A380" s="586" t="s">
        <v>680</v>
      </c>
      <c r="B380" s="584">
        <f>assumptions!B44</f>
        <v>0</v>
      </c>
    </row>
    <row r="381" spans="1:31" outlineLevel="2">
      <c r="A381" s="586" t="s">
        <v>681</v>
      </c>
      <c r="B381" s="134">
        <f>assumptions!D44</f>
        <v>0</v>
      </c>
    </row>
    <row r="382" spans="1:31" outlineLevel="2">
      <c r="A382" s="586" t="s">
        <v>683</v>
      </c>
      <c r="B382" s="584">
        <f>IF(assumptions!F44="deferred",0,assumptions!F44)</f>
        <v>0</v>
      </c>
    </row>
    <row r="383" spans="1:31" outlineLevel="2">
      <c r="A383" s="586" t="s">
        <v>684</v>
      </c>
      <c r="B383" s="584">
        <f>B380*(B381/12)</f>
        <v>0</v>
      </c>
    </row>
    <row r="384" spans="1:31" outlineLevel="2">
      <c r="A384" s="586" t="s">
        <v>685</v>
      </c>
      <c r="B384" s="584">
        <f>B383*12</f>
        <v>0</v>
      </c>
    </row>
    <row r="385" spans="1:31" outlineLevel="2">
      <c r="A385" s="590"/>
    </row>
    <row r="386" spans="1:31" outlineLevel="2">
      <c r="A386" s="588" t="s">
        <v>686</v>
      </c>
      <c r="B386" s="589">
        <v>1</v>
      </c>
      <c r="C386" s="589">
        <f t="shared" ref="C386" si="1220">B386+1</f>
        <v>2</v>
      </c>
      <c r="D386" s="589">
        <f t="shared" ref="D386" si="1221">C386+1</f>
        <v>3</v>
      </c>
      <c r="E386" s="589">
        <f t="shared" ref="E386" si="1222">D386+1</f>
        <v>4</v>
      </c>
      <c r="F386" s="589">
        <f t="shared" ref="F386" si="1223">E386+1</f>
        <v>5</v>
      </c>
      <c r="G386" s="589">
        <f t="shared" ref="G386" si="1224">F386+1</f>
        <v>6</v>
      </c>
      <c r="H386" s="589">
        <f t="shared" ref="H386" si="1225">G386+1</f>
        <v>7</v>
      </c>
      <c r="I386" s="589">
        <f t="shared" ref="I386" si="1226">H386+1</f>
        <v>8</v>
      </c>
      <c r="J386" s="589">
        <f t="shared" ref="J386" si="1227">I386+1</f>
        <v>9</v>
      </c>
      <c r="K386" s="589">
        <f t="shared" ref="K386" si="1228">J386+1</f>
        <v>10</v>
      </c>
      <c r="L386" s="589">
        <f t="shared" ref="L386" si="1229">K386+1</f>
        <v>11</v>
      </c>
      <c r="M386" s="589">
        <f t="shared" ref="M386" si="1230">L386+1</f>
        <v>12</v>
      </c>
      <c r="N386" s="589">
        <f t="shared" ref="N386" si="1231">M386+1</f>
        <v>13</v>
      </c>
      <c r="O386" s="589">
        <f t="shared" ref="O386" si="1232">N386+1</f>
        <v>14</v>
      </c>
      <c r="P386" s="589">
        <f t="shared" ref="P386" si="1233">O386+1</f>
        <v>15</v>
      </c>
      <c r="Q386" s="589">
        <f t="shared" ref="Q386" si="1234">P386+1</f>
        <v>16</v>
      </c>
      <c r="R386" s="589">
        <f t="shared" ref="R386" si="1235">Q386+1</f>
        <v>17</v>
      </c>
      <c r="S386" s="589">
        <f t="shared" ref="S386" si="1236">R386+1</f>
        <v>18</v>
      </c>
      <c r="T386" s="589">
        <f t="shared" ref="T386" si="1237">S386+1</f>
        <v>19</v>
      </c>
      <c r="U386" s="589">
        <f t="shared" ref="U386" si="1238">T386+1</f>
        <v>20</v>
      </c>
      <c r="V386" s="589">
        <f t="shared" ref="V386" si="1239">U386+1</f>
        <v>21</v>
      </c>
      <c r="W386" s="589">
        <f t="shared" ref="W386" si="1240">V386+1</f>
        <v>22</v>
      </c>
      <c r="X386" s="589">
        <f t="shared" ref="X386" si="1241">W386+1</f>
        <v>23</v>
      </c>
      <c r="Y386" s="589">
        <f t="shared" ref="Y386" si="1242">X386+1</f>
        <v>24</v>
      </c>
      <c r="Z386" s="589">
        <f t="shared" ref="Z386" si="1243">Y386+1</f>
        <v>25</v>
      </c>
      <c r="AA386" s="589">
        <f t="shared" ref="AA386" si="1244">Z386+1</f>
        <v>26</v>
      </c>
      <c r="AB386" s="589">
        <f t="shared" ref="AB386" si="1245">AA386+1</f>
        <v>27</v>
      </c>
      <c r="AC386" s="589">
        <f t="shared" ref="AC386" si="1246">AB386+1</f>
        <v>28</v>
      </c>
      <c r="AD386" s="589">
        <f t="shared" ref="AD386" si="1247">AC386+1</f>
        <v>29</v>
      </c>
      <c r="AE386" s="589">
        <f t="shared" ref="AE386" si="1248">AD386+1</f>
        <v>30</v>
      </c>
    </row>
    <row r="387" spans="1:31" outlineLevel="2">
      <c r="A387" s="590" t="s">
        <v>687</v>
      </c>
      <c r="B387" s="584">
        <f>B380</f>
        <v>0</v>
      </c>
      <c r="C387" s="584">
        <f>B388</f>
        <v>0</v>
      </c>
      <c r="D387" s="584">
        <f t="shared" ref="D387" si="1249">C388</f>
        <v>0</v>
      </c>
      <c r="E387" s="584">
        <f t="shared" ref="E387" si="1250">D388</f>
        <v>0</v>
      </c>
      <c r="F387" s="584">
        <f t="shared" ref="F387" si="1251">E388</f>
        <v>0</v>
      </c>
      <c r="G387" s="584">
        <f t="shared" ref="G387" si="1252">F388</f>
        <v>0</v>
      </c>
      <c r="H387" s="584">
        <f t="shared" ref="H387" si="1253">G388</f>
        <v>0</v>
      </c>
      <c r="I387" s="584">
        <f t="shared" ref="I387" si="1254">H388</f>
        <v>0</v>
      </c>
      <c r="J387" s="584">
        <f t="shared" ref="J387" si="1255">I388</f>
        <v>0</v>
      </c>
      <c r="K387" s="584">
        <f t="shared" ref="K387" si="1256">J388</f>
        <v>0</v>
      </c>
      <c r="L387" s="584">
        <f t="shared" ref="L387" si="1257">K388</f>
        <v>0</v>
      </c>
      <c r="M387" s="584">
        <f t="shared" ref="M387" si="1258">L388</f>
        <v>0</v>
      </c>
      <c r="N387" s="584">
        <f t="shared" ref="N387" si="1259">M388</f>
        <v>0</v>
      </c>
      <c r="O387" s="584">
        <f t="shared" ref="O387" si="1260">N388</f>
        <v>0</v>
      </c>
      <c r="P387" s="584">
        <f t="shared" ref="P387" si="1261">O388</f>
        <v>0</v>
      </c>
      <c r="Q387" s="584">
        <f t="shared" ref="Q387" si="1262">P388</f>
        <v>0</v>
      </c>
      <c r="R387" s="584">
        <f t="shared" ref="R387" si="1263">Q388</f>
        <v>0</v>
      </c>
      <c r="S387" s="584">
        <f t="shared" ref="S387" si="1264">R388</f>
        <v>0</v>
      </c>
      <c r="T387" s="584">
        <f t="shared" ref="T387" si="1265">S388</f>
        <v>0</v>
      </c>
      <c r="U387" s="584">
        <f t="shared" ref="U387" si="1266">T388</f>
        <v>0</v>
      </c>
      <c r="V387" s="584">
        <f t="shared" ref="V387" si="1267">U388</f>
        <v>0</v>
      </c>
      <c r="W387" s="584">
        <f t="shared" ref="W387" si="1268">V388</f>
        <v>0</v>
      </c>
      <c r="X387" s="584">
        <f t="shared" ref="X387" si="1269">W388</f>
        <v>0</v>
      </c>
      <c r="Y387" s="584">
        <f t="shared" ref="Y387" si="1270">X388</f>
        <v>0</v>
      </c>
      <c r="Z387" s="584">
        <f t="shared" ref="Z387" si="1271">Y388</f>
        <v>0</v>
      </c>
      <c r="AA387" s="584">
        <f t="shared" ref="AA387" si="1272">Z388</f>
        <v>0</v>
      </c>
      <c r="AB387" s="584">
        <f t="shared" ref="AB387" si="1273">AA388</f>
        <v>0</v>
      </c>
      <c r="AC387" s="584">
        <f t="shared" ref="AC387" si="1274">AB388</f>
        <v>0</v>
      </c>
      <c r="AD387" s="584">
        <f t="shared" ref="AD387" si="1275">AC388</f>
        <v>0</v>
      </c>
      <c r="AE387" s="584">
        <f t="shared" ref="AE387" si="1276">AD388</f>
        <v>0</v>
      </c>
    </row>
    <row r="388" spans="1:31" outlineLevel="2">
      <c r="A388" s="590" t="s">
        <v>688</v>
      </c>
      <c r="B388" s="584">
        <f>B387-B389</f>
        <v>0</v>
      </c>
      <c r="C388" s="584">
        <f t="shared" ref="C388" si="1277">C387-C389</f>
        <v>0</v>
      </c>
      <c r="D388" s="584">
        <f t="shared" ref="D388" si="1278">D387-D389</f>
        <v>0</v>
      </c>
      <c r="E388" s="584">
        <f>E387-E389</f>
        <v>0</v>
      </c>
      <c r="F388" s="584">
        <f t="shared" ref="F388" si="1279">F387-F389</f>
        <v>0</v>
      </c>
      <c r="G388" s="584">
        <f t="shared" ref="G388" si="1280">G387-G389</f>
        <v>0</v>
      </c>
      <c r="H388" s="584">
        <f t="shared" ref="H388" si="1281">H387-H389</f>
        <v>0</v>
      </c>
      <c r="I388" s="584">
        <f t="shared" ref="I388" si="1282">I387-I389</f>
        <v>0</v>
      </c>
      <c r="J388" s="584">
        <f t="shared" ref="J388" si="1283">J387-J389</f>
        <v>0</v>
      </c>
      <c r="K388" s="584">
        <f t="shared" ref="K388" si="1284">K387-K389</f>
        <v>0</v>
      </c>
      <c r="L388" s="584">
        <f t="shared" ref="L388" si="1285">L387-L389</f>
        <v>0</v>
      </c>
      <c r="M388" s="584">
        <f t="shared" ref="M388" si="1286">M387-M389</f>
        <v>0</v>
      </c>
      <c r="N388" s="584">
        <f t="shared" ref="N388" si="1287">N387-N389</f>
        <v>0</v>
      </c>
      <c r="O388" s="584">
        <f t="shared" ref="O388" si="1288">O387-O389</f>
        <v>0</v>
      </c>
      <c r="P388" s="584">
        <f t="shared" ref="P388" si="1289">P387-P389</f>
        <v>0</v>
      </c>
      <c r="Q388" s="584">
        <f t="shared" ref="Q388" si="1290">Q387-Q389</f>
        <v>0</v>
      </c>
      <c r="R388" s="584">
        <f t="shared" ref="R388" si="1291">R387-R389</f>
        <v>0</v>
      </c>
      <c r="S388" s="584">
        <f t="shared" ref="S388" si="1292">S387-S389</f>
        <v>0</v>
      </c>
      <c r="T388" s="584">
        <f t="shared" ref="T388" si="1293">T387-T389</f>
        <v>0</v>
      </c>
      <c r="U388" s="584">
        <f t="shared" ref="U388" si="1294">U387-U389</f>
        <v>0</v>
      </c>
      <c r="V388" s="584">
        <f t="shared" ref="V388" si="1295">V387-V389</f>
        <v>0</v>
      </c>
      <c r="W388" s="584">
        <f t="shared" ref="W388" si="1296">W387-W389</f>
        <v>0</v>
      </c>
      <c r="X388" s="584">
        <f t="shared" ref="X388" si="1297">X387-X389</f>
        <v>0</v>
      </c>
      <c r="Y388" s="584">
        <f t="shared" ref="Y388" si="1298">Y387-Y389</f>
        <v>0</v>
      </c>
      <c r="Z388" s="584">
        <f t="shared" ref="Z388" si="1299">Z387-Z389</f>
        <v>0</v>
      </c>
      <c r="AA388" s="584">
        <f t="shared" ref="AA388" si="1300">AA387-AA389</f>
        <v>0</v>
      </c>
      <c r="AB388" s="584">
        <f t="shared" ref="AB388" si="1301">AB387-AB389</f>
        <v>0</v>
      </c>
      <c r="AC388" s="584">
        <f t="shared" ref="AC388" si="1302">AC387-AC389</f>
        <v>0</v>
      </c>
      <c r="AD388" s="584">
        <f t="shared" ref="AD388" si="1303">AD387-AD389</f>
        <v>0</v>
      </c>
      <c r="AE388" s="584">
        <f t="shared" ref="AE388" si="1304">AE387-AE389</f>
        <v>0</v>
      </c>
    </row>
    <row r="389" spans="1:31" outlineLevel="2">
      <c r="A389" s="590" t="s">
        <v>680</v>
      </c>
      <c r="B389" s="584">
        <f>IF($B382=B386,B387,0)</f>
        <v>0</v>
      </c>
      <c r="C389" s="584">
        <f>IF($B382=C386,C387,0)</f>
        <v>0</v>
      </c>
      <c r="D389" s="584">
        <f>IF($B382=D386,D387,0)</f>
        <v>0</v>
      </c>
      <c r="E389" s="584">
        <f>IF($B382=E386,E387,0)</f>
        <v>0</v>
      </c>
      <c r="F389" s="584">
        <f t="shared" ref="F389:AE389" si="1305">IF($B382=F386,F387,0)</f>
        <v>0</v>
      </c>
      <c r="G389" s="584">
        <f t="shared" si="1305"/>
        <v>0</v>
      </c>
      <c r="H389" s="584">
        <f t="shared" si="1305"/>
        <v>0</v>
      </c>
      <c r="I389" s="584">
        <f t="shared" si="1305"/>
        <v>0</v>
      </c>
      <c r="J389" s="584">
        <f t="shared" si="1305"/>
        <v>0</v>
      </c>
      <c r="K389" s="584">
        <f t="shared" si="1305"/>
        <v>0</v>
      </c>
      <c r="L389" s="584">
        <f t="shared" si="1305"/>
        <v>0</v>
      </c>
      <c r="M389" s="584">
        <f t="shared" si="1305"/>
        <v>0</v>
      </c>
      <c r="N389" s="584">
        <f t="shared" si="1305"/>
        <v>0</v>
      </c>
      <c r="O389" s="584">
        <f t="shared" si="1305"/>
        <v>0</v>
      </c>
      <c r="P389" s="584">
        <f t="shared" si="1305"/>
        <v>0</v>
      </c>
      <c r="Q389" s="584">
        <f t="shared" si="1305"/>
        <v>0</v>
      </c>
      <c r="R389" s="584">
        <f t="shared" si="1305"/>
        <v>0</v>
      </c>
      <c r="S389" s="584">
        <f t="shared" si="1305"/>
        <v>0</v>
      </c>
      <c r="T389" s="584">
        <f t="shared" si="1305"/>
        <v>0</v>
      </c>
      <c r="U389" s="584">
        <f t="shared" si="1305"/>
        <v>0</v>
      </c>
      <c r="V389" s="584">
        <f t="shared" si="1305"/>
        <v>0</v>
      </c>
      <c r="W389" s="584">
        <f t="shared" si="1305"/>
        <v>0</v>
      </c>
      <c r="X389" s="584">
        <f t="shared" si="1305"/>
        <v>0</v>
      </c>
      <c r="Y389" s="584">
        <f t="shared" si="1305"/>
        <v>0</v>
      </c>
      <c r="Z389" s="584">
        <f t="shared" si="1305"/>
        <v>0</v>
      </c>
      <c r="AA389" s="584">
        <f t="shared" si="1305"/>
        <v>0</v>
      </c>
      <c r="AB389" s="584">
        <f t="shared" si="1305"/>
        <v>0</v>
      </c>
      <c r="AC389" s="584">
        <f t="shared" si="1305"/>
        <v>0</v>
      </c>
      <c r="AD389" s="584">
        <f t="shared" si="1305"/>
        <v>0</v>
      </c>
      <c r="AE389" s="584">
        <f t="shared" si="1305"/>
        <v>0</v>
      </c>
    </row>
    <row r="390" spans="1:31" outlineLevel="2">
      <c r="A390" s="590" t="s">
        <v>681</v>
      </c>
      <c r="B390" s="584">
        <f>IF($B382&gt;=B386,B387*$B381,0)</f>
        <v>0</v>
      </c>
      <c r="C390" s="584">
        <f>IF($B382&gt;=C386,C387*$B381,0)</f>
        <v>0</v>
      </c>
      <c r="D390" s="584">
        <f t="shared" ref="D390" si="1306">IF($B382&gt;=D386,D387*$B381,0)</f>
        <v>0</v>
      </c>
      <c r="E390" s="584">
        <f>IF($B382&gt;=E386,E387*$B381,0)</f>
        <v>0</v>
      </c>
      <c r="F390" s="584">
        <f t="shared" ref="F390:AE390" si="1307">IF($B382&gt;=F386,F387*$B381,0)</f>
        <v>0</v>
      </c>
      <c r="G390" s="584">
        <f t="shared" si="1307"/>
        <v>0</v>
      </c>
      <c r="H390" s="584">
        <f t="shared" si="1307"/>
        <v>0</v>
      </c>
      <c r="I390" s="584">
        <f t="shared" si="1307"/>
        <v>0</v>
      </c>
      <c r="J390" s="584">
        <f t="shared" si="1307"/>
        <v>0</v>
      </c>
      <c r="K390" s="584">
        <f t="shared" si="1307"/>
        <v>0</v>
      </c>
      <c r="L390" s="584">
        <f t="shared" si="1307"/>
        <v>0</v>
      </c>
      <c r="M390" s="584">
        <f t="shared" si="1307"/>
        <v>0</v>
      </c>
      <c r="N390" s="584">
        <f t="shared" si="1307"/>
        <v>0</v>
      </c>
      <c r="O390" s="584">
        <f t="shared" si="1307"/>
        <v>0</v>
      </c>
      <c r="P390" s="584">
        <f t="shared" si="1307"/>
        <v>0</v>
      </c>
      <c r="Q390" s="584">
        <f t="shared" si="1307"/>
        <v>0</v>
      </c>
      <c r="R390" s="584">
        <f t="shared" si="1307"/>
        <v>0</v>
      </c>
      <c r="S390" s="584">
        <f t="shared" si="1307"/>
        <v>0</v>
      </c>
      <c r="T390" s="584">
        <f t="shared" si="1307"/>
        <v>0</v>
      </c>
      <c r="U390" s="584">
        <f t="shared" si="1307"/>
        <v>0</v>
      </c>
      <c r="V390" s="584">
        <f t="shared" si="1307"/>
        <v>0</v>
      </c>
      <c r="W390" s="584">
        <f t="shared" si="1307"/>
        <v>0</v>
      </c>
      <c r="X390" s="584">
        <f t="shared" si="1307"/>
        <v>0</v>
      </c>
      <c r="Y390" s="584">
        <f t="shared" si="1307"/>
        <v>0</v>
      </c>
      <c r="Z390" s="584">
        <f t="shared" si="1307"/>
        <v>0</v>
      </c>
      <c r="AA390" s="584">
        <f t="shared" si="1307"/>
        <v>0</v>
      </c>
      <c r="AB390" s="584">
        <f t="shared" si="1307"/>
        <v>0</v>
      </c>
      <c r="AC390" s="584">
        <f t="shared" si="1307"/>
        <v>0</v>
      </c>
      <c r="AD390" s="584">
        <f t="shared" si="1307"/>
        <v>0</v>
      </c>
      <c r="AE390" s="584">
        <f t="shared" si="1307"/>
        <v>0</v>
      </c>
    </row>
    <row r="391" spans="1:31" outlineLevel="2">
      <c r="A391" s="590" t="s">
        <v>689</v>
      </c>
      <c r="B391" s="584">
        <f>B389+B390</f>
        <v>0</v>
      </c>
      <c r="C391" s="584">
        <f t="shared" ref="C391:D391" si="1308">C389+C390</f>
        <v>0</v>
      </c>
      <c r="D391" s="584">
        <f t="shared" si="1308"/>
        <v>0</v>
      </c>
      <c r="E391" s="584">
        <f>E389+E390</f>
        <v>0</v>
      </c>
      <c r="F391" s="584">
        <f t="shared" ref="F391:AE391" si="1309">F389+F390</f>
        <v>0</v>
      </c>
      <c r="G391" s="584">
        <f t="shared" si="1309"/>
        <v>0</v>
      </c>
      <c r="H391" s="584">
        <f t="shared" si="1309"/>
        <v>0</v>
      </c>
      <c r="I391" s="584">
        <f t="shared" si="1309"/>
        <v>0</v>
      </c>
      <c r="J391" s="584">
        <f t="shared" si="1309"/>
        <v>0</v>
      </c>
      <c r="K391" s="584">
        <f t="shared" si="1309"/>
        <v>0</v>
      </c>
      <c r="L391" s="584">
        <f t="shared" si="1309"/>
        <v>0</v>
      </c>
      <c r="M391" s="584">
        <f t="shared" si="1309"/>
        <v>0</v>
      </c>
      <c r="N391" s="584">
        <f t="shared" si="1309"/>
        <v>0</v>
      </c>
      <c r="O391" s="584">
        <f t="shared" si="1309"/>
        <v>0</v>
      </c>
      <c r="P391" s="584">
        <f t="shared" si="1309"/>
        <v>0</v>
      </c>
      <c r="Q391" s="584">
        <f t="shared" si="1309"/>
        <v>0</v>
      </c>
      <c r="R391" s="584">
        <f t="shared" si="1309"/>
        <v>0</v>
      </c>
      <c r="S391" s="584">
        <f t="shared" si="1309"/>
        <v>0</v>
      </c>
      <c r="T391" s="584">
        <f t="shared" si="1309"/>
        <v>0</v>
      </c>
      <c r="U391" s="584">
        <f t="shared" si="1309"/>
        <v>0</v>
      </c>
      <c r="V391" s="584">
        <f t="shared" si="1309"/>
        <v>0</v>
      </c>
      <c r="W391" s="584">
        <f t="shared" si="1309"/>
        <v>0</v>
      </c>
      <c r="X391" s="584">
        <f t="shared" si="1309"/>
        <v>0</v>
      </c>
      <c r="Y391" s="584">
        <f t="shared" si="1309"/>
        <v>0</v>
      </c>
      <c r="Z391" s="584">
        <f t="shared" si="1309"/>
        <v>0</v>
      </c>
      <c r="AA391" s="584">
        <f t="shared" si="1309"/>
        <v>0</v>
      </c>
      <c r="AB391" s="584">
        <f t="shared" si="1309"/>
        <v>0</v>
      </c>
      <c r="AC391" s="584">
        <f t="shared" si="1309"/>
        <v>0</v>
      </c>
      <c r="AD391" s="584">
        <f t="shared" si="1309"/>
        <v>0</v>
      </c>
      <c r="AE391" s="584">
        <f t="shared" si="1309"/>
        <v>0</v>
      </c>
    </row>
    <row r="392" spans="1:31" outlineLevel="1">
      <c r="A392" s="590"/>
    </row>
    <row r="393" spans="1:31" outlineLevel="2">
      <c r="A393" s="585" t="str">
        <f>assumptions!A45</f>
        <v>[Additional Field - Specify] (Non-Amortizing)</v>
      </c>
    </row>
    <row r="394" spans="1:31" outlineLevel="2">
      <c r="A394" s="590"/>
    </row>
    <row r="395" spans="1:31" outlineLevel="2">
      <c r="A395" s="586" t="s">
        <v>680</v>
      </c>
      <c r="B395" s="584">
        <f>assumptions!B45</f>
        <v>0</v>
      </c>
    </row>
    <row r="396" spans="1:31" outlineLevel="2">
      <c r="A396" s="586" t="s">
        <v>681</v>
      </c>
      <c r="B396" s="134">
        <f>assumptions!D45</f>
        <v>0</v>
      </c>
    </row>
    <row r="397" spans="1:31" outlineLevel="2">
      <c r="A397" s="586" t="s">
        <v>683</v>
      </c>
      <c r="B397" s="584">
        <f>IF(assumptions!F45="deferred",0,assumptions!F45)</f>
        <v>0</v>
      </c>
    </row>
    <row r="398" spans="1:31" outlineLevel="2">
      <c r="A398" s="586" t="s">
        <v>684</v>
      </c>
      <c r="B398" s="584">
        <f>B395*(B396/12)</f>
        <v>0</v>
      </c>
    </row>
    <row r="399" spans="1:31" outlineLevel="2">
      <c r="A399" s="586" t="s">
        <v>685</v>
      </c>
      <c r="B399" s="584">
        <f>B398*12</f>
        <v>0</v>
      </c>
    </row>
    <row r="400" spans="1:31" outlineLevel="2">
      <c r="A400" s="590"/>
    </row>
    <row r="401" spans="1:31" outlineLevel="2">
      <c r="A401" s="588" t="s">
        <v>686</v>
      </c>
      <c r="B401" s="589">
        <v>1</v>
      </c>
      <c r="C401" s="589">
        <f t="shared" ref="C401" si="1310">B401+1</f>
        <v>2</v>
      </c>
      <c r="D401" s="589">
        <f t="shared" ref="D401" si="1311">C401+1</f>
        <v>3</v>
      </c>
      <c r="E401" s="589">
        <f t="shared" ref="E401" si="1312">D401+1</f>
        <v>4</v>
      </c>
      <c r="F401" s="589">
        <f t="shared" ref="F401" si="1313">E401+1</f>
        <v>5</v>
      </c>
      <c r="G401" s="589">
        <f t="shared" ref="G401" si="1314">F401+1</f>
        <v>6</v>
      </c>
      <c r="H401" s="589">
        <f t="shared" ref="H401" si="1315">G401+1</f>
        <v>7</v>
      </c>
      <c r="I401" s="589">
        <f t="shared" ref="I401" si="1316">H401+1</f>
        <v>8</v>
      </c>
      <c r="J401" s="589">
        <f t="shared" ref="J401" si="1317">I401+1</f>
        <v>9</v>
      </c>
      <c r="K401" s="589">
        <f t="shared" ref="K401" si="1318">J401+1</f>
        <v>10</v>
      </c>
      <c r="L401" s="589">
        <f t="shared" ref="L401" si="1319">K401+1</f>
        <v>11</v>
      </c>
      <c r="M401" s="589">
        <f t="shared" ref="M401" si="1320">L401+1</f>
        <v>12</v>
      </c>
      <c r="N401" s="589">
        <f t="shared" ref="N401" si="1321">M401+1</f>
        <v>13</v>
      </c>
      <c r="O401" s="589">
        <f t="shared" ref="O401" si="1322">N401+1</f>
        <v>14</v>
      </c>
      <c r="P401" s="589">
        <f t="shared" ref="P401" si="1323">O401+1</f>
        <v>15</v>
      </c>
      <c r="Q401" s="589">
        <f t="shared" ref="Q401" si="1324">P401+1</f>
        <v>16</v>
      </c>
      <c r="R401" s="589">
        <f t="shared" ref="R401" si="1325">Q401+1</f>
        <v>17</v>
      </c>
      <c r="S401" s="589">
        <f t="shared" ref="S401" si="1326">R401+1</f>
        <v>18</v>
      </c>
      <c r="T401" s="589">
        <f t="shared" ref="T401" si="1327">S401+1</f>
        <v>19</v>
      </c>
      <c r="U401" s="589">
        <f t="shared" ref="U401" si="1328">T401+1</f>
        <v>20</v>
      </c>
      <c r="V401" s="589">
        <f t="shared" ref="V401" si="1329">U401+1</f>
        <v>21</v>
      </c>
      <c r="W401" s="589">
        <f t="shared" ref="W401" si="1330">V401+1</f>
        <v>22</v>
      </c>
      <c r="X401" s="589">
        <f t="shared" ref="X401" si="1331">W401+1</f>
        <v>23</v>
      </c>
      <c r="Y401" s="589">
        <f t="shared" ref="Y401" si="1332">X401+1</f>
        <v>24</v>
      </c>
      <c r="Z401" s="589">
        <f t="shared" ref="Z401" si="1333">Y401+1</f>
        <v>25</v>
      </c>
      <c r="AA401" s="589">
        <f t="shared" ref="AA401" si="1334">Z401+1</f>
        <v>26</v>
      </c>
      <c r="AB401" s="589">
        <f t="shared" ref="AB401" si="1335">AA401+1</f>
        <v>27</v>
      </c>
      <c r="AC401" s="589">
        <f t="shared" ref="AC401" si="1336">AB401+1</f>
        <v>28</v>
      </c>
      <c r="AD401" s="589">
        <f t="shared" ref="AD401" si="1337">AC401+1</f>
        <v>29</v>
      </c>
      <c r="AE401" s="589">
        <f t="shared" ref="AE401" si="1338">AD401+1</f>
        <v>30</v>
      </c>
    </row>
    <row r="402" spans="1:31" outlineLevel="2">
      <c r="A402" s="590" t="s">
        <v>687</v>
      </c>
      <c r="B402" s="584">
        <f>B395</f>
        <v>0</v>
      </c>
      <c r="C402" s="584">
        <f>B403</f>
        <v>0</v>
      </c>
      <c r="D402" s="584">
        <f t="shared" ref="D402" si="1339">C403</f>
        <v>0</v>
      </c>
      <c r="E402" s="584">
        <f t="shared" ref="E402" si="1340">D403</f>
        <v>0</v>
      </c>
      <c r="F402" s="584">
        <f t="shared" ref="F402" si="1341">E403</f>
        <v>0</v>
      </c>
      <c r="G402" s="584">
        <f t="shared" ref="G402" si="1342">F403</f>
        <v>0</v>
      </c>
      <c r="H402" s="584">
        <f t="shared" ref="H402" si="1343">G403</f>
        <v>0</v>
      </c>
      <c r="I402" s="584">
        <f t="shared" ref="I402" si="1344">H403</f>
        <v>0</v>
      </c>
      <c r="J402" s="584">
        <f t="shared" ref="J402" si="1345">I403</f>
        <v>0</v>
      </c>
      <c r="K402" s="584">
        <f t="shared" ref="K402" si="1346">J403</f>
        <v>0</v>
      </c>
      <c r="L402" s="584">
        <f t="shared" ref="L402" si="1347">K403</f>
        <v>0</v>
      </c>
      <c r="M402" s="584">
        <f t="shared" ref="M402" si="1348">L403</f>
        <v>0</v>
      </c>
      <c r="N402" s="584">
        <f t="shared" ref="N402" si="1349">M403</f>
        <v>0</v>
      </c>
      <c r="O402" s="584">
        <f t="shared" ref="O402" si="1350">N403</f>
        <v>0</v>
      </c>
      <c r="P402" s="584">
        <f t="shared" ref="P402" si="1351">O403</f>
        <v>0</v>
      </c>
      <c r="Q402" s="584">
        <f t="shared" ref="Q402" si="1352">P403</f>
        <v>0</v>
      </c>
      <c r="R402" s="584">
        <f t="shared" ref="R402" si="1353">Q403</f>
        <v>0</v>
      </c>
      <c r="S402" s="584">
        <f t="shared" ref="S402" si="1354">R403</f>
        <v>0</v>
      </c>
      <c r="T402" s="584">
        <f t="shared" ref="T402" si="1355">S403</f>
        <v>0</v>
      </c>
      <c r="U402" s="584">
        <f t="shared" ref="U402" si="1356">T403</f>
        <v>0</v>
      </c>
      <c r="V402" s="584">
        <f t="shared" ref="V402" si="1357">U403</f>
        <v>0</v>
      </c>
      <c r="W402" s="584">
        <f t="shared" ref="W402" si="1358">V403</f>
        <v>0</v>
      </c>
      <c r="X402" s="584">
        <f t="shared" ref="X402" si="1359">W403</f>
        <v>0</v>
      </c>
      <c r="Y402" s="584">
        <f t="shared" ref="Y402" si="1360">X403</f>
        <v>0</v>
      </c>
      <c r="Z402" s="584">
        <f t="shared" ref="Z402" si="1361">Y403</f>
        <v>0</v>
      </c>
      <c r="AA402" s="584">
        <f t="shared" ref="AA402" si="1362">Z403</f>
        <v>0</v>
      </c>
      <c r="AB402" s="584">
        <f t="shared" ref="AB402" si="1363">AA403</f>
        <v>0</v>
      </c>
      <c r="AC402" s="584">
        <f t="shared" ref="AC402" si="1364">AB403</f>
        <v>0</v>
      </c>
      <c r="AD402" s="584">
        <f t="shared" ref="AD402" si="1365">AC403</f>
        <v>0</v>
      </c>
      <c r="AE402" s="584">
        <f t="shared" ref="AE402" si="1366">AD403</f>
        <v>0</v>
      </c>
    </row>
    <row r="403" spans="1:31" outlineLevel="2">
      <c r="A403" s="590" t="s">
        <v>688</v>
      </c>
      <c r="B403" s="584">
        <f>B402-B404</f>
        <v>0</v>
      </c>
      <c r="C403" s="584">
        <f>C402-C404</f>
        <v>0</v>
      </c>
      <c r="D403" s="584">
        <f t="shared" ref="D403" si="1367">D402-D404</f>
        <v>0</v>
      </c>
      <c r="E403" s="584">
        <f>E402-E404</f>
        <v>0</v>
      </c>
      <c r="F403" s="584">
        <f t="shared" ref="F403" si="1368">F402-F404</f>
        <v>0</v>
      </c>
      <c r="G403" s="584">
        <f t="shared" ref="G403" si="1369">G402-G404</f>
        <v>0</v>
      </c>
      <c r="H403" s="584">
        <f t="shared" ref="H403" si="1370">H402-H404</f>
        <v>0</v>
      </c>
      <c r="I403" s="584">
        <f t="shared" ref="I403" si="1371">I402-I404</f>
        <v>0</v>
      </c>
      <c r="J403" s="584">
        <f t="shared" ref="J403" si="1372">J402-J404</f>
        <v>0</v>
      </c>
      <c r="K403" s="584">
        <f t="shared" ref="K403" si="1373">K402-K404</f>
        <v>0</v>
      </c>
      <c r="L403" s="584">
        <f t="shared" ref="L403" si="1374">L402-L404</f>
        <v>0</v>
      </c>
      <c r="M403" s="584">
        <f t="shared" ref="M403" si="1375">M402-M404</f>
        <v>0</v>
      </c>
      <c r="N403" s="584">
        <f t="shared" ref="N403" si="1376">N402-N404</f>
        <v>0</v>
      </c>
      <c r="O403" s="584">
        <f t="shared" ref="O403" si="1377">O402-O404</f>
        <v>0</v>
      </c>
      <c r="P403" s="584">
        <f t="shared" ref="P403" si="1378">P402-P404</f>
        <v>0</v>
      </c>
      <c r="Q403" s="584">
        <f t="shared" ref="Q403" si="1379">Q402-Q404</f>
        <v>0</v>
      </c>
      <c r="R403" s="584">
        <f t="shared" ref="R403" si="1380">R402-R404</f>
        <v>0</v>
      </c>
      <c r="S403" s="584">
        <f t="shared" ref="S403" si="1381">S402-S404</f>
        <v>0</v>
      </c>
      <c r="T403" s="584">
        <f t="shared" ref="T403" si="1382">T402-T404</f>
        <v>0</v>
      </c>
      <c r="U403" s="584">
        <f t="shared" ref="U403" si="1383">U402-U404</f>
        <v>0</v>
      </c>
      <c r="V403" s="584">
        <f t="shared" ref="V403" si="1384">V402-V404</f>
        <v>0</v>
      </c>
      <c r="W403" s="584">
        <f t="shared" ref="W403" si="1385">W402-W404</f>
        <v>0</v>
      </c>
      <c r="X403" s="584">
        <f t="shared" ref="X403" si="1386">X402-X404</f>
        <v>0</v>
      </c>
      <c r="Y403" s="584">
        <f t="shared" ref="Y403" si="1387">Y402-Y404</f>
        <v>0</v>
      </c>
      <c r="Z403" s="584">
        <f t="shared" ref="Z403" si="1388">Z402-Z404</f>
        <v>0</v>
      </c>
      <c r="AA403" s="584">
        <f t="shared" ref="AA403" si="1389">AA402-AA404</f>
        <v>0</v>
      </c>
      <c r="AB403" s="584">
        <f t="shared" ref="AB403" si="1390">AB402-AB404</f>
        <v>0</v>
      </c>
      <c r="AC403" s="584">
        <f t="shared" ref="AC403" si="1391">AC402-AC404</f>
        <v>0</v>
      </c>
      <c r="AD403" s="584">
        <f t="shared" ref="AD403" si="1392">AD402-AD404</f>
        <v>0</v>
      </c>
      <c r="AE403" s="584">
        <f t="shared" ref="AE403" si="1393">AE402-AE404</f>
        <v>0</v>
      </c>
    </row>
    <row r="404" spans="1:31" outlineLevel="2">
      <c r="A404" s="590" t="s">
        <v>680</v>
      </c>
      <c r="B404" s="584">
        <f>IF($B397=B401,B402,0)</f>
        <v>0</v>
      </c>
      <c r="C404" s="584">
        <f>IF($B397=C401,C402,0)</f>
        <v>0</v>
      </c>
      <c r="D404" s="584">
        <f>IF($B397=D401,D402,0)</f>
        <v>0</v>
      </c>
      <c r="E404" s="584">
        <f>IF($B397=E401,E402,0)</f>
        <v>0</v>
      </c>
      <c r="F404" s="584">
        <f t="shared" ref="F404:AE404" si="1394">IF($B397=F401,F402,0)</f>
        <v>0</v>
      </c>
      <c r="G404" s="584">
        <f t="shared" si="1394"/>
        <v>0</v>
      </c>
      <c r="H404" s="584">
        <f t="shared" si="1394"/>
        <v>0</v>
      </c>
      <c r="I404" s="584">
        <f t="shared" si="1394"/>
        <v>0</v>
      </c>
      <c r="J404" s="584">
        <f t="shared" si="1394"/>
        <v>0</v>
      </c>
      <c r="K404" s="584">
        <f t="shared" si="1394"/>
        <v>0</v>
      </c>
      <c r="L404" s="584">
        <f t="shared" si="1394"/>
        <v>0</v>
      </c>
      <c r="M404" s="584">
        <f t="shared" si="1394"/>
        <v>0</v>
      </c>
      <c r="N404" s="584">
        <f t="shared" si="1394"/>
        <v>0</v>
      </c>
      <c r="O404" s="584">
        <f t="shared" si="1394"/>
        <v>0</v>
      </c>
      <c r="P404" s="584">
        <f t="shared" si="1394"/>
        <v>0</v>
      </c>
      <c r="Q404" s="584">
        <f t="shared" si="1394"/>
        <v>0</v>
      </c>
      <c r="R404" s="584">
        <f t="shared" si="1394"/>
        <v>0</v>
      </c>
      <c r="S404" s="584">
        <f t="shared" si="1394"/>
        <v>0</v>
      </c>
      <c r="T404" s="584">
        <f t="shared" si="1394"/>
        <v>0</v>
      </c>
      <c r="U404" s="584">
        <f t="shared" si="1394"/>
        <v>0</v>
      </c>
      <c r="V404" s="584">
        <f t="shared" si="1394"/>
        <v>0</v>
      </c>
      <c r="W404" s="584">
        <f t="shared" si="1394"/>
        <v>0</v>
      </c>
      <c r="X404" s="584">
        <f t="shared" si="1394"/>
        <v>0</v>
      </c>
      <c r="Y404" s="584">
        <f t="shared" si="1394"/>
        <v>0</v>
      </c>
      <c r="Z404" s="584">
        <f t="shared" si="1394"/>
        <v>0</v>
      </c>
      <c r="AA404" s="584">
        <f t="shared" si="1394"/>
        <v>0</v>
      </c>
      <c r="AB404" s="584">
        <f t="shared" si="1394"/>
        <v>0</v>
      </c>
      <c r="AC404" s="584">
        <f t="shared" si="1394"/>
        <v>0</v>
      </c>
      <c r="AD404" s="584">
        <f t="shared" si="1394"/>
        <v>0</v>
      </c>
      <c r="AE404" s="584">
        <f t="shared" si="1394"/>
        <v>0</v>
      </c>
    </row>
    <row r="405" spans="1:31" outlineLevel="2">
      <c r="A405" s="590" t="s">
        <v>681</v>
      </c>
      <c r="B405" s="584">
        <f>IF($B397&gt;=B401,B402*$B396,0)</f>
        <v>0</v>
      </c>
      <c r="C405" s="584">
        <f>IF($B397&gt;=C401,C402*$B396,0)</f>
        <v>0</v>
      </c>
      <c r="D405" s="584">
        <f t="shared" ref="D405" si="1395">IF($B397&gt;=D401,D402*$B396,0)</f>
        <v>0</v>
      </c>
      <c r="E405" s="584">
        <f>IF($B397&gt;=E401,E402*$B396,0)</f>
        <v>0</v>
      </c>
      <c r="F405" s="584">
        <f t="shared" ref="F405:AE405" si="1396">IF($B397&gt;=F401,F402*$B396,0)</f>
        <v>0</v>
      </c>
      <c r="G405" s="584">
        <f t="shared" si="1396"/>
        <v>0</v>
      </c>
      <c r="H405" s="584">
        <f t="shared" si="1396"/>
        <v>0</v>
      </c>
      <c r="I405" s="584">
        <f t="shared" si="1396"/>
        <v>0</v>
      </c>
      <c r="J405" s="584">
        <f t="shared" si="1396"/>
        <v>0</v>
      </c>
      <c r="K405" s="584">
        <f t="shared" si="1396"/>
        <v>0</v>
      </c>
      <c r="L405" s="584">
        <f t="shared" si="1396"/>
        <v>0</v>
      </c>
      <c r="M405" s="584">
        <f t="shared" si="1396"/>
        <v>0</v>
      </c>
      <c r="N405" s="584">
        <f t="shared" si="1396"/>
        <v>0</v>
      </c>
      <c r="O405" s="584">
        <f t="shared" si="1396"/>
        <v>0</v>
      </c>
      <c r="P405" s="584">
        <f t="shared" si="1396"/>
        <v>0</v>
      </c>
      <c r="Q405" s="584">
        <f t="shared" si="1396"/>
        <v>0</v>
      </c>
      <c r="R405" s="584">
        <f t="shared" si="1396"/>
        <v>0</v>
      </c>
      <c r="S405" s="584">
        <f t="shared" si="1396"/>
        <v>0</v>
      </c>
      <c r="T405" s="584">
        <f t="shared" si="1396"/>
        <v>0</v>
      </c>
      <c r="U405" s="584">
        <f t="shared" si="1396"/>
        <v>0</v>
      </c>
      <c r="V405" s="584">
        <f t="shared" si="1396"/>
        <v>0</v>
      </c>
      <c r="W405" s="584">
        <f t="shared" si="1396"/>
        <v>0</v>
      </c>
      <c r="X405" s="584">
        <f t="shared" si="1396"/>
        <v>0</v>
      </c>
      <c r="Y405" s="584">
        <f t="shared" si="1396"/>
        <v>0</v>
      </c>
      <c r="Z405" s="584">
        <f t="shared" si="1396"/>
        <v>0</v>
      </c>
      <c r="AA405" s="584">
        <f t="shared" si="1396"/>
        <v>0</v>
      </c>
      <c r="AB405" s="584">
        <f t="shared" si="1396"/>
        <v>0</v>
      </c>
      <c r="AC405" s="584">
        <f t="shared" si="1396"/>
        <v>0</v>
      </c>
      <c r="AD405" s="584">
        <f t="shared" si="1396"/>
        <v>0</v>
      </c>
      <c r="AE405" s="584">
        <f t="shared" si="1396"/>
        <v>0</v>
      </c>
    </row>
    <row r="406" spans="1:31" outlineLevel="2">
      <c r="A406" s="590" t="s">
        <v>689</v>
      </c>
      <c r="B406" s="584">
        <f>B404+B405</f>
        <v>0</v>
      </c>
      <c r="C406" s="584">
        <f t="shared" ref="C406:D406" si="1397">C404+C405</f>
        <v>0</v>
      </c>
      <c r="D406" s="584">
        <f t="shared" si="1397"/>
        <v>0</v>
      </c>
      <c r="E406" s="584">
        <f>E404+E405</f>
        <v>0</v>
      </c>
      <c r="F406" s="584">
        <f t="shared" ref="F406:AE406" si="1398">F404+F405</f>
        <v>0</v>
      </c>
      <c r="G406" s="584">
        <f t="shared" si="1398"/>
        <v>0</v>
      </c>
      <c r="H406" s="584">
        <f t="shared" si="1398"/>
        <v>0</v>
      </c>
      <c r="I406" s="584">
        <f t="shared" si="1398"/>
        <v>0</v>
      </c>
      <c r="J406" s="584">
        <f t="shared" si="1398"/>
        <v>0</v>
      </c>
      <c r="K406" s="584">
        <f t="shared" si="1398"/>
        <v>0</v>
      </c>
      <c r="L406" s="584">
        <f t="shared" si="1398"/>
        <v>0</v>
      </c>
      <c r="M406" s="584">
        <f t="shared" si="1398"/>
        <v>0</v>
      </c>
      <c r="N406" s="584">
        <f t="shared" si="1398"/>
        <v>0</v>
      </c>
      <c r="O406" s="584">
        <f t="shared" si="1398"/>
        <v>0</v>
      </c>
      <c r="P406" s="584">
        <f t="shared" si="1398"/>
        <v>0</v>
      </c>
      <c r="Q406" s="584">
        <f t="shared" si="1398"/>
        <v>0</v>
      </c>
      <c r="R406" s="584">
        <f t="shared" si="1398"/>
        <v>0</v>
      </c>
      <c r="S406" s="584">
        <f t="shared" si="1398"/>
        <v>0</v>
      </c>
      <c r="T406" s="584">
        <f t="shared" si="1398"/>
        <v>0</v>
      </c>
      <c r="U406" s="584">
        <f t="shared" si="1398"/>
        <v>0</v>
      </c>
      <c r="V406" s="584">
        <f t="shared" si="1398"/>
        <v>0</v>
      </c>
      <c r="W406" s="584">
        <f t="shared" si="1398"/>
        <v>0</v>
      </c>
      <c r="X406" s="584">
        <f t="shared" si="1398"/>
        <v>0</v>
      </c>
      <c r="Y406" s="584">
        <f t="shared" si="1398"/>
        <v>0</v>
      </c>
      <c r="Z406" s="584">
        <f t="shared" si="1398"/>
        <v>0</v>
      </c>
      <c r="AA406" s="584">
        <f t="shared" si="1398"/>
        <v>0</v>
      </c>
      <c r="AB406" s="584">
        <f t="shared" si="1398"/>
        <v>0</v>
      </c>
      <c r="AC406" s="584">
        <f t="shared" si="1398"/>
        <v>0</v>
      </c>
      <c r="AD406" s="584">
        <f t="shared" si="1398"/>
        <v>0</v>
      </c>
      <c r="AE406" s="584">
        <f t="shared" si="1398"/>
        <v>0</v>
      </c>
    </row>
    <row r="407" spans="1:31" outlineLevel="1">
      <c r="A407" s="590"/>
    </row>
    <row r="408" spans="1:31" outlineLevel="2">
      <c r="A408" s="585" t="str">
        <f>assumptions!A46</f>
        <v>[Additional Field - Specify] (Non-Amortizing)</v>
      </c>
    </row>
    <row r="409" spans="1:31" outlineLevel="2">
      <c r="A409" s="590"/>
    </row>
    <row r="410" spans="1:31" outlineLevel="2">
      <c r="A410" s="586" t="s">
        <v>680</v>
      </c>
      <c r="B410" s="584">
        <f>assumptions!B46</f>
        <v>0</v>
      </c>
    </row>
    <row r="411" spans="1:31" outlineLevel="2">
      <c r="A411" s="586" t="s">
        <v>681</v>
      </c>
      <c r="B411" s="134">
        <f>assumptions!D46</f>
        <v>0</v>
      </c>
    </row>
    <row r="412" spans="1:31" outlineLevel="2">
      <c r="A412" s="586" t="s">
        <v>683</v>
      </c>
      <c r="B412" s="584">
        <f>IF(assumptions!F46="deferred",0,assumptions!F46)</f>
        <v>0</v>
      </c>
    </row>
    <row r="413" spans="1:31" outlineLevel="2">
      <c r="A413" s="586" t="s">
        <v>684</v>
      </c>
      <c r="B413" s="584">
        <f>B410*(B411/12)</f>
        <v>0</v>
      </c>
    </row>
    <row r="414" spans="1:31" outlineLevel="2">
      <c r="A414" s="586" t="s">
        <v>685</v>
      </c>
      <c r="B414" s="584">
        <f>B413*12</f>
        <v>0</v>
      </c>
    </row>
    <row r="415" spans="1:31" outlineLevel="2">
      <c r="A415" s="590"/>
    </row>
    <row r="416" spans="1:31" outlineLevel="2">
      <c r="A416" s="588" t="s">
        <v>686</v>
      </c>
      <c r="B416" s="589">
        <v>1</v>
      </c>
      <c r="C416" s="589">
        <f t="shared" ref="C416" si="1399">B416+1</f>
        <v>2</v>
      </c>
      <c r="D416" s="589">
        <f t="shared" ref="D416" si="1400">C416+1</f>
        <v>3</v>
      </c>
      <c r="E416" s="589">
        <f t="shared" ref="E416" si="1401">D416+1</f>
        <v>4</v>
      </c>
      <c r="F416" s="589">
        <f t="shared" ref="F416" si="1402">E416+1</f>
        <v>5</v>
      </c>
      <c r="G416" s="589">
        <f t="shared" ref="G416" si="1403">F416+1</f>
        <v>6</v>
      </c>
      <c r="H416" s="589">
        <f t="shared" ref="H416" si="1404">G416+1</f>
        <v>7</v>
      </c>
      <c r="I416" s="589">
        <f t="shared" ref="I416" si="1405">H416+1</f>
        <v>8</v>
      </c>
      <c r="J416" s="589">
        <f t="shared" ref="J416" si="1406">I416+1</f>
        <v>9</v>
      </c>
      <c r="K416" s="589">
        <f t="shared" ref="K416" si="1407">J416+1</f>
        <v>10</v>
      </c>
      <c r="L416" s="589">
        <f t="shared" ref="L416" si="1408">K416+1</f>
        <v>11</v>
      </c>
      <c r="M416" s="589">
        <f t="shared" ref="M416" si="1409">L416+1</f>
        <v>12</v>
      </c>
      <c r="N416" s="589">
        <f t="shared" ref="N416" si="1410">M416+1</f>
        <v>13</v>
      </c>
      <c r="O416" s="589">
        <f t="shared" ref="O416" si="1411">N416+1</f>
        <v>14</v>
      </c>
      <c r="P416" s="589">
        <f t="shared" ref="P416" si="1412">O416+1</f>
        <v>15</v>
      </c>
      <c r="Q416" s="589">
        <f t="shared" ref="Q416" si="1413">P416+1</f>
        <v>16</v>
      </c>
      <c r="R416" s="589">
        <f t="shared" ref="R416" si="1414">Q416+1</f>
        <v>17</v>
      </c>
      <c r="S416" s="589">
        <f t="shared" ref="S416" si="1415">R416+1</f>
        <v>18</v>
      </c>
      <c r="T416" s="589">
        <f t="shared" ref="T416" si="1416">S416+1</f>
        <v>19</v>
      </c>
      <c r="U416" s="589">
        <f t="shared" ref="U416" si="1417">T416+1</f>
        <v>20</v>
      </c>
      <c r="V416" s="589">
        <f t="shared" ref="V416" si="1418">U416+1</f>
        <v>21</v>
      </c>
      <c r="W416" s="589">
        <f t="shared" ref="W416" si="1419">V416+1</f>
        <v>22</v>
      </c>
      <c r="X416" s="589">
        <f t="shared" ref="X416" si="1420">W416+1</f>
        <v>23</v>
      </c>
      <c r="Y416" s="589">
        <f t="shared" ref="Y416" si="1421">X416+1</f>
        <v>24</v>
      </c>
      <c r="Z416" s="589">
        <f t="shared" ref="Z416" si="1422">Y416+1</f>
        <v>25</v>
      </c>
      <c r="AA416" s="589">
        <f t="shared" ref="AA416" si="1423">Z416+1</f>
        <v>26</v>
      </c>
      <c r="AB416" s="589">
        <f t="shared" ref="AB416" si="1424">AA416+1</f>
        <v>27</v>
      </c>
      <c r="AC416" s="589">
        <f t="shared" ref="AC416" si="1425">AB416+1</f>
        <v>28</v>
      </c>
      <c r="AD416" s="589">
        <f t="shared" ref="AD416" si="1426">AC416+1</f>
        <v>29</v>
      </c>
      <c r="AE416" s="589">
        <f t="shared" ref="AE416" si="1427">AD416+1</f>
        <v>30</v>
      </c>
    </row>
    <row r="417" spans="1:31" outlineLevel="2">
      <c r="A417" s="590" t="s">
        <v>687</v>
      </c>
      <c r="B417" s="584">
        <f>B410</f>
        <v>0</v>
      </c>
      <c r="C417" s="584">
        <f>B418</f>
        <v>0</v>
      </c>
      <c r="D417" s="584">
        <f t="shared" ref="D417" si="1428">C418</f>
        <v>0</v>
      </c>
      <c r="E417" s="584">
        <f t="shared" ref="E417" si="1429">D418</f>
        <v>0</v>
      </c>
      <c r="F417" s="584">
        <f t="shared" ref="F417" si="1430">E418</f>
        <v>0</v>
      </c>
      <c r="G417" s="584">
        <f t="shared" ref="G417" si="1431">F418</f>
        <v>0</v>
      </c>
      <c r="H417" s="584">
        <f t="shared" ref="H417" si="1432">G418</f>
        <v>0</v>
      </c>
      <c r="I417" s="584">
        <f t="shared" ref="I417" si="1433">H418</f>
        <v>0</v>
      </c>
      <c r="J417" s="584">
        <f t="shared" ref="J417" si="1434">I418</f>
        <v>0</v>
      </c>
      <c r="K417" s="584">
        <f t="shared" ref="K417" si="1435">J418</f>
        <v>0</v>
      </c>
      <c r="L417" s="584">
        <f t="shared" ref="L417" si="1436">K418</f>
        <v>0</v>
      </c>
      <c r="M417" s="584">
        <f t="shared" ref="M417" si="1437">L418</f>
        <v>0</v>
      </c>
      <c r="N417" s="584">
        <f t="shared" ref="N417" si="1438">M418</f>
        <v>0</v>
      </c>
      <c r="O417" s="584">
        <f t="shared" ref="O417" si="1439">N418</f>
        <v>0</v>
      </c>
      <c r="P417" s="584">
        <f t="shared" ref="P417" si="1440">O418</f>
        <v>0</v>
      </c>
      <c r="Q417" s="584">
        <f t="shared" ref="Q417" si="1441">P418</f>
        <v>0</v>
      </c>
      <c r="R417" s="584">
        <f t="shared" ref="R417" si="1442">Q418</f>
        <v>0</v>
      </c>
      <c r="S417" s="584">
        <f t="shared" ref="S417" si="1443">R418</f>
        <v>0</v>
      </c>
      <c r="T417" s="584">
        <f t="shared" ref="T417" si="1444">S418</f>
        <v>0</v>
      </c>
      <c r="U417" s="584">
        <f t="shared" ref="U417" si="1445">T418</f>
        <v>0</v>
      </c>
      <c r="V417" s="584">
        <f t="shared" ref="V417" si="1446">U418</f>
        <v>0</v>
      </c>
      <c r="W417" s="584">
        <f t="shared" ref="W417" si="1447">V418</f>
        <v>0</v>
      </c>
      <c r="X417" s="584">
        <f t="shared" ref="X417" si="1448">W418</f>
        <v>0</v>
      </c>
      <c r="Y417" s="584">
        <f t="shared" ref="Y417" si="1449">X418</f>
        <v>0</v>
      </c>
      <c r="Z417" s="584">
        <f t="shared" ref="Z417" si="1450">Y418</f>
        <v>0</v>
      </c>
      <c r="AA417" s="584">
        <f t="shared" ref="AA417" si="1451">Z418</f>
        <v>0</v>
      </c>
      <c r="AB417" s="584">
        <f t="shared" ref="AB417" si="1452">AA418</f>
        <v>0</v>
      </c>
      <c r="AC417" s="584">
        <f t="shared" ref="AC417" si="1453">AB418</f>
        <v>0</v>
      </c>
      <c r="AD417" s="584">
        <f t="shared" ref="AD417" si="1454">AC418</f>
        <v>0</v>
      </c>
      <c r="AE417" s="584">
        <f t="shared" ref="AE417" si="1455">AD418</f>
        <v>0</v>
      </c>
    </row>
    <row r="418" spans="1:31" outlineLevel="2">
      <c r="A418" s="590" t="s">
        <v>688</v>
      </c>
      <c r="B418" s="584">
        <f>B417-B419</f>
        <v>0</v>
      </c>
      <c r="C418" s="584">
        <f>C417-C419</f>
        <v>0</v>
      </c>
      <c r="D418" s="584">
        <f t="shared" ref="D418" si="1456">D417-D419</f>
        <v>0</v>
      </c>
      <c r="E418" s="584">
        <f>E417-E419</f>
        <v>0</v>
      </c>
      <c r="F418" s="584">
        <f t="shared" ref="F418" si="1457">F417-F419</f>
        <v>0</v>
      </c>
      <c r="G418" s="584">
        <f t="shared" ref="G418" si="1458">G417-G419</f>
        <v>0</v>
      </c>
      <c r="H418" s="584">
        <f t="shared" ref="H418" si="1459">H417-H419</f>
        <v>0</v>
      </c>
      <c r="I418" s="584">
        <f t="shared" ref="I418" si="1460">I417-I419</f>
        <v>0</v>
      </c>
      <c r="J418" s="584">
        <f t="shared" ref="J418" si="1461">J417-J419</f>
        <v>0</v>
      </c>
      <c r="K418" s="584">
        <f t="shared" ref="K418" si="1462">K417-K419</f>
        <v>0</v>
      </c>
      <c r="L418" s="584">
        <f t="shared" ref="L418" si="1463">L417-L419</f>
        <v>0</v>
      </c>
      <c r="M418" s="584">
        <f t="shared" ref="M418" si="1464">M417-M419</f>
        <v>0</v>
      </c>
      <c r="N418" s="584">
        <f t="shared" ref="N418" si="1465">N417-N419</f>
        <v>0</v>
      </c>
      <c r="O418" s="584">
        <f t="shared" ref="O418" si="1466">O417-O419</f>
        <v>0</v>
      </c>
      <c r="P418" s="584">
        <f t="shared" ref="P418" si="1467">P417-P419</f>
        <v>0</v>
      </c>
      <c r="Q418" s="584">
        <f t="shared" ref="Q418" si="1468">Q417-Q419</f>
        <v>0</v>
      </c>
      <c r="R418" s="584">
        <f t="shared" ref="R418" si="1469">R417-R419</f>
        <v>0</v>
      </c>
      <c r="S418" s="584">
        <f t="shared" ref="S418" si="1470">S417-S419</f>
        <v>0</v>
      </c>
      <c r="T418" s="584">
        <f t="shared" ref="T418" si="1471">T417-T419</f>
        <v>0</v>
      </c>
      <c r="U418" s="584">
        <f t="shared" ref="U418" si="1472">U417-U419</f>
        <v>0</v>
      </c>
      <c r="V418" s="584">
        <f t="shared" ref="V418" si="1473">V417-V419</f>
        <v>0</v>
      </c>
      <c r="W418" s="584">
        <f t="shared" ref="W418" si="1474">W417-W419</f>
        <v>0</v>
      </c>
      <c r="X418" s="584">
        <f t="shared" ref="X418" si="1475">X417-X419</f>
        <v>0</v>
      </c>
      <c r="Y418" s="584">
        <f t="shared" ref="Y418" si="1476">Y417-Y419</f>
        <v>0</v>
      </c>
      <c r="Z418" s="584">
        <f t="shared" ref="Z418" si="1477">Z417-Z419</f>
        <v>0</v>
      </c>
      <c r="AA418" s="584">
        <f t="shared" ref="AA418" si="1478">AA417-AA419</f>
        <v>0</v>
      </c>
      <c r="AB418" s="584">
        <f t="shared" ref="AB418" si="1479">AB417-AB419</f>
        <v>0</v>
      </c>
      <c r="AC418" s="584">
        <f t="shared" ref="AC418" si="1480">AC417-AC419</f>
        <v>0</v>
      </c>
      <c r="AD418" s="584">
        <f t="shared" ref="AD418" si="1481">AD417-AD419</f>
        <v>0</v>
      </c>
      <c r="AE418" s="584">
        <f t="shared" ref="AE418" si="1482">AE417-AE419</f>
        <v>0</v>
      </c>
    </row>
    <row r="419" spans="1:31" outlineLevel="2">
      <c r="A419" s="590" t="s">
        <v>680</v>
      </c>
      <c r="B419" s="584">
        <f>IF($B412=B416,B417,0)</f>
        <v>0</v>
      </c>
      <c r="C419" s="584">
        <f>IF($B412=C416,C417,0)</f>
        <v>0</v>
      </c>
      <c r="D419" s="584">
        <f>IF($B412=D416,D417,0)</f>
        <v>0</v>
      </c>
      <c r="E419" s="584">
        <f>IF($B412=E416,E417,0)</f>
        <v>0</v>
      </c>
      <c r="F419" s="584">
        <f t="shared" ref="F419:AE419" si="1483">IF($B412=F416,F417,0)</f>
        <v>0</v>
      </c>
      <c r="G419" s="584">
        <f t="shared" si="1483"/>
        <v>0</v>
      </c>
      <c r="H419" s="584">
        <f t="shared" si="1483"/>
        <v>0</v>
      </c>
      <c r="I419" s="584">
        <f t="shared" si="1483"/>
        <v>0</v>
      </c>
      <c r="J419" s="584">
        <f t="shared" si="1483"/>
        <v>0</v>
      </c>
      <c r="K419" s="584">
        <f t="shared" si="1483"/>
        <v>0</v>
      </c>
      <c r="L419" s="584">
        <f t="shared" si="1483"/>
        <v>0</v>
      </c>
      <c r="M419" s="584">
        <f t="shared" si="1483"/>
        <v>0</v>
      </c>
      <c r="N419" s="584">
        <f t="shared" si="1483"/>
        <v>0</v>
      </c>
      <c r="O419" s="584">
        <f t="shared" si="1483"/>
        <v>0</v>
      </c>
      <c r="P419" s="584">
        <f t="shared" si="1483"/>
        <v>0</v>
      </c>
      <c r="Q419" s="584">
        <f t="shared" si="1483"/>
        <v>0</v>
      </c>
      <c r="R419" s="584">
        <f t="shared" si="1483"/>
        <v>0</v>
      </c>
      <c r="S419" s="584">
        <f t="shared" si="1483"/>
        <v>0</v>
      </c>
      <c r="T419" s="584">
        <f t="shared" si="1483"/>
        <v>0</v>
      </c>
      <c r="U419" s="584">
        <f t="shared" si="1483"/>
        <v>0</v>
      </c>
      <c r="V419" s="584">
        <f t="shared" si="1483"/>
        <v>0</v>
      </c>
      <c r="W419" s="584">
        <f t="shared" si="1483"/>
        <v>0</v>
      </c>
      <c r="X419" s="584">
        <f t="shared" si="1483"/>
        <v>0</v>
      </c>
      <c r="Y419" s="584">
        <f t="shared" si="1483"/>
        <v>0</v>
      </c>
      <c r="Z419" s="584">
        <f t="shared" si="1483"/>
        <v>0</v>
      </c>
      <c r="AA419" s="584">
        <f t="shared" si="1483"/>
        <v>0</v>
      </c>
      <c r="AB419" s="584">
        <f t="shared" si="1483"/>
        <v>0</v>
      </c>
      <c r="AC419" s="584">
        <f t="shared" si="1483"/>
        <v>0</v>
      </c>
      <c r="AD419" s="584">
        <f t="shared" si="1483"/>
        <v>0</v>
      </c>
      <c r="AE419" s="584">
        <f t="shared" si="1483"/>
        <v>0</v>
      </c>
    </row>
    <row r="420" spans="1:31" outlineLevel="2">
      <c r="A420" s="590" t="s">
        <v>681</v>
      </c>
      <c r="B420" s="584">
        <f>IF($B412&gt;=B416,B417*$B411,0)</f>
        <v>0</v>
      </c>
      <c r="C420" s="584">
        <f>IF($B412&gt;=C416,C417*$B411,0)</f>
        <v>0</v>
      </c>
      <c r="D420" s="584">
        <f t="shared" ref="D420" si="1484">IF($B412&gt;=D416,D417*$B411,0)</f>
        <v>0</v>
      </c>
      <c r="E420" s="584">
        <f>IF($B412&gt;=E416,E417*$B411,0)</f>
        <v>0</v>
      </c>
      <c r="F420" s="584">
        <f t="shared" ref="F420:AE420" si="1485">IF($B412&gt;=F416,F417*$B411,0)</f>
        <v>0</v>
      </c>
      <c r="G420" s="584">
        <f t="shared" si="1485"/>
        <v>0</v>
      </c>
      <c r="H420" s="584">
        <f t="shared" si="1485"/>
        <v>0</v>
      </c>
      <c r="I420" s="584">
        <f t="shared" si="1485"/>
        <v>0</v>
      </c>
      <c r="J420" s="584">
        <f t="shared" si="1485"/>
        <v>0</v>
      </c>
      <c r="K420" s="584">
        <f t="shared" si="1485"/>
        <v>0</v>
      </c>
      <c r="L420" s="584">
        <f t="shared" si="1485"/>
        <v>0</v>
      </c>
      <c r="M420" s="584">
        <f t="shared" si="1485"/>
        <v>0</v>
      </c>
      <c r="N420" s="584">
        <f t="shared" si="1485"/>
        <v>0</v>
      </c>
      <c r="O420" s="584">
        <f t="shared" si="1485"/>
        <v>0</v>
      </c>
      <c r="P420" s="584">
        <f t="shared" si="1485"/>
        <v>0</v>
      </c>
      <c r="Q420" s="584">
        <f t="shared" si="1485"/>
        <v>0</v>
      </c>
      <c r="R420" s="584">
        <f t="shared" si="1485"/>
        <v>0</v>
      </c>
      <c r="S420" s="584">
        <f t="shared" si="1485"/>
        <v>0</v>
      </c>
      <c r="T420" s="584">
        <f t="shared" si="1485"/>
        <v>0</v>
      </c>
      <c r="U420" s="584">
        <f t="shared" si="1485"/>
        <v>0</v>
      </c>
      <c r="V420" s="584">
        <f t="shared" si="1485"/>
        <v>0</v>
      </c>
      <c r="W420" s="584">
        <f t="shared" si="1485"/>
        <v>0</v>
      </c>
      <c r="X420" s="584">
        <f t="shared" si="1485"/>
        <v>0</v>
      </c>
      <c r="Y420" s="584">
        <f t="shared" si="1485"/>
        <v>0</v>
      </c>
      <c r="Z420" s="584">
        <f t="shared" si="1485"/>
        <v>0</v>
      </c>
      <c r="AA420" s="584">
        <f t="shared" si="1485"/>
        <v>0</v>
      </c>
      <c r="AB420" s="584">
        <f t="shared" si="1485"/>
        <v>0</v>
      </c>
      <c r="AC420" s="584">
        <f t="shared" si="1485"/>
        <v>0</v>
      </c>
      <c r="AD420" s="584">
        <f t="shared" si="1485"/>
        <v>0</v>
      </c>
      <c r="AE420" s="584">
        <f t="shared" si="1485"/>
        <v>0</v>
      </c>
    </row>
    <row r="421" spans="1:31" outlineLevel="2">
      <c r="A421" s="590" t="s">
        <v>689</v>
      </c>
      <c r="B421" s="584">
        <f>B419+B420</f>
        <v>0</v>
      </c>
      <c r="C421" s="584">
        <f t="shared" ref="C421:D421" si="1486">C419+C420</f>
        <v>0</v>
      </c>
      <c r="D421" s="584">
        <f t="shared" si="1486"/>
        <v>0</v>
      </c>
      <c r="E421" s="584">
        <f>E419+E420</f>
        <v>0</v>
      </c>
      <c r="F421" s="584">
        <f t="shared" ref="F421:AE421" si="1487">F419+F420</f>
        <v>0</v>
      </c>
      <c r="G421" s="584">
        <f t="shared" si="1487"/>
        <v>0</v>
      </c>
      <c r="H421" s="584">
        <f t="shared" si="1487"/>
        <v>0</v>
      </c>
      <c r="I421" s="584">
        <f t="shared" si="1487"/>
        <v>0</v>
      </c>
      <c r="J421" s="584">
        <f t="shared" si="1487"/>
        <v>0</v>
      </c>
      <c r="K421" s="584">
        <f t="shared" si="1487"/>
        <v>0</v>
      </c>
      <c r="L421" s="584">
        <f t="shared" si="1487"/>
        <v>0</v>
      </c>
      <c r="M421" s="584">
        <f t="shared" si="1487"/>
        <v>0</v>
      </c>
      <c r="N421" s="584">
        <f t="shared" si="1487"/>
        <v>0</v>
      </c>
      <c r="O421" s="584">
        <f t="shared" si="1487"/>
        <v>0</v>
      </c>
      <c r="P421" s="584">
        <f t="shared" si="1487"/>
        <v>0</v>
      </c>
      <c r="Q421" s="584">
        <f t="shared" si="1487"/>
        <v>0</v>
      </c>
      <c r="R421" s="584">
        <f t="shared" si="1487"/>
        <v>0</v>
      </c>
      <c r="S421" s="584">
        <f t="shared" si="1487"/>
        <v>0</v>
      </c>
      <c r="T421" s="584">
        <f t="shared" si="1487"/>
        <v>0</v>
      </c>
      <c r="U421" s="584">
        <f t="shared" si="1487"/>
        <v>0</v>
      </c>
      <c r="V421" s="584">
        <f t="shared" si="1487"/>
        <v>0</v>
      </c>
      <c r="W421" s="584">
        <f t="shared" si="1487"/>
        <v>0</v>
      </c>
      <c r="X421" s="584">
        <f t="shared" si="1487"/>
        <v>0</v>
      </c>
      <c r="Y421" s="584">
        <f t="shared" si="1487"/>
        <v>0</v>
      </c>
      <c r="Z421" s="584">
        <f t="shared" si="1487"/>
        <v>0</v>
      </c>
      <c r="AA421" s="584">
        <f t="shared" si="1487"/>
        <v>0</v>
      </c>
      <c r="AB421" s="584">
        <f t="shared" si="1487"/>
        <v>0</v>
      </c>
      <c r="AC421" s="584">
        <f t="shared" si="1487"/>
        <v>0</v>
      </c>
      <c r="AD421" s="584">
        <f t="shared" si="1487"/>
        <v>0</v>
      </c>
      <c r="AE421" s="584">
        <f t="shared" si="1487"/>
        <v>0</v>
      </c>
    </row>
    <row r="422" spans="1:31" outlineLevel="1">
      <c r="A422" s="590"/>
    </row>
    <row r="423" spans="1:31">
      <c r="A423" s="590"/>
    </row>
    <row r="424" spans="1:31">
      <c r="A424" s="585" t="s">
        <v>690</v>
      </c>
      <c r="B424" s="584">
        <f>B16+B32+B64+B80+B96+B113+B130+B48+B147+B164+B181+B199+B217+B234+B252+B269+B285+B300+B315+B330+B345+B360+B375+B390+B405+B420</f>
        <v>0</v>
      </c>
      <c r="C424" s="584">
        <f>C16+C32+C64+C80+C96+C113+C130+C48+C147+C164+C181+C199+C217+C234+C252+C269+C285+C300+C315+C330+C345+C360+C375+C390+C405+C420</f>
        <v>0</v>
      </c>
      <c r="D424" s="584">
        <f>D16+D32+D64+D80+D96+D113+D130+D48+D147+D164+D181+D199+D217+D234+D252+D269+D285+D300+D315+D330+D345+D360+D375+D390+D405+D420</f>
        <v>0</v>
      </c>
      <c r="E424" s="584">
        <f t="shared" ref="E424:AE424" si="1488">E16+E32+E64+E80+E96+E113+E130+E48+E147+E164+E181+E199+E217+E234+E252+E269+E285+E300+E315+E330+E345+E360+E375+E390+E405+E420</f>
        <v>0</v>
      </c>
      <c r="F424" s="584">
        <f t="shared" si="1488"/>
        <v>0</v>
      </c>
      <c r="G424" s="584">
        <f t="shared" si="1488"/>
        <v>0</v>
      </c>
      <c r="H424" s="584">
        <f t="shared" si="1488"/>
        <v>0</v>
      </c>
      <c r="I424" s="584">
        <f t="shared" si="1488"/>
        <v>0</v>
      </c>
      <c r="J424" s="584">
        <f t="shared" si="1488"/>
        <v>0</v>
      </c>
      <c r="K424" s="584">
        <f t="shared" si="1488"/>
        <v>0</v>
      </c>
      <c r="L424" s="584">
        <f t="shared" si="1488"/>
        <v>0</v>
      </c>
      <c r="M424" s="584">
        <f t="shared" si="1488"/>
        <v>0</v>
      </c>
      <c r="N424" s="584">
        <f t="shared" si="1488"/>
        <v>0</v>
      </c>
      <c r="O424" s="584">
        <f t="shared" si="1488"/>
        <v>0</v>
      </c>
      <c r="P424" s="584">
        <f t="shared" si="1488"/>
        <v>0</v>
      </c>
      <c r="Q424" s="584">
        <f t="shared" si="1488"/>
        <v>0</v>
      </c>
      <c r="R424" s="584">
        <f t="shared" si="1488"/>
        <v>0</v>
      </c>
      <c r="S424" s="584">
        <f t="shared" si="1488"/>
        <v>0</v>
      </c>
      <c r="T424" s="584">
        <f t="shared" si="1488"/>
        <v>0</v>
      </c>
      <c r="U424" s="584">
        <f t="shared" si="1488"/>
        <v>0</v>
      </c>
      <c r="V424" s="584">
        <f t="shared" si="1488"/>
        <v>0</v>
      </c>
      <c r="W424" s="584">
        <f t="shared" si="1488"/>
        <v>0</v>
      </c>
      <c r="X424" s="584">
        <f t="shared" si="1488"/>
        <v>0</v>
      </c>
      <c r="Y424" s="584">
        <f t="shared" si="1488"/>
        <v>0</v>
      </c>
      <c r="Z424" s="584">
        <f t="shared" si="1488"/>
        <v>0</v>
      </c>
      <c r="AA424" s="584">
        <f t="shared" si="1488"/>
        <v>0</v>
      </c>
      <c r="AB424" s="584">
        <f t="shared" si="1488"/>
        <v>0</v>
      </c>
      <c r="AC424" s="584">
        <f t="shared" si="1488"/>
        <v>0</v>
      </c>
      <c r="AD424" s="584">
        <f t="shared" si="1488"/>
        <v>0</v>
      </c>
      <c r="AE424" s="584">
        <f t="shared" si="1488"/>
        <v>0</v>
      </c>
    </row>
    <row r="426" spans="1:31">
      <c r="A426" s="594" t="s">
        <v>691</v>
      </c>
      <c r="B426" s="595"/>
      <c r="C426" s="595"/>
      <c r="D426" s="595"/>
      <c r="E426" s="595"/>
      <c r="F426" s="595"/>
      <c r="G426" s="595"/>
      <c r="H426" s="595"/>
      <c r="I426" s="595"/>
      <c r="J426" s="595"/>
      <c r="K426" s="595"/>
      <c r="L426" s="595"/>
      <c r="M426" s="595"/>
      <c r="N426" s="595"/>
      <c r="O426" s="595"/>
      <c r="P426" s="596"/>
    </row>
    <row r="427" spans="1:31">
      <c r="A427" s="503">
        <v>0.02</v>
      </c>
      <c r="P427" s="597"/>
    </row>
    <row r="428" spans="1:31">
      <c r="A428" s="598" t="s">
        <v>692</v>
      </c>
      <c r="B428" s="584">
        <f>cashflows!C14/IF(assumptions!$B$17=0,assumptions!$B$16,assumptions!$B$17)</f>
        <v>0</v>
      </c>
      <c r="C428" s="584">
        <f>B428+(B428*$A$427)</f>
        <v>0</v>
      </c>
      <c r="D428" s="584">
        <f>C428+(C428*$A$427)</f>
        <v>0</v>
      </c>
      <c r="E428" s="584">
        <f t="shared" ref="E428:P428" si="1489">D428+(D428*$A$427)</f>
        <v>0</v>
      </c>
      <c r="F428" s="584">
        <f t="shared" si="1489"/>
        <v>0</v>
      </c>
      <c r="G428" s="584">
        <f t="shared" si="1489"/>
        <v>0</v>
      </c>
      <c r="H428" s="584">
        <f t="shared" si="1489"/>
        <v>0</v>
      </c>
      <c r="I428" s="584">
        <f t="shared" si="1489"/>
        <v>0</v>
      </c>
      <c r="J428" s="584">
        <f t="shared" si="1489"/>
        <v>0</v>
      </c>
      <c r="K428" s="584">
        <f t="shared" si="1489"/>
        <v>0</v>
      </c>
      <c r="L428" s="584">
        <f t="shared" si="1489"/>
        <v>0</v>
      </c>
      <c r="M428" s="584">
        <f t="shared" si="1489"/>
        <v>0</v>
      </c>
      <c r="N428" s="584">
        <f t="shared" si="1489"/>
        <v>0</v>
      </c>
      <c r="O428" s="584">
        <f t="shared" si="1489"/>
        <v>0</v>
      </c>
      <c r="P428" s="597">
        <f t="shared" si="1489"/>
        <v>0</v>
      </c>
    </row>
    <row r="429" spans="1:31">
      <c r="A429" s="598" t="s">
        <v>693</v>
      </c>
      <c r="B429" s="584">
        <f>B14+B30+B62+B78+B94+B111+B128+B46+B145+B162+B179+B197+B215+B232+B250+B267+B283+B298+B313+B328+B343+B358+B373+B388+B403+B418</f>
        <v>0</v>
      </c>
      <c r="C429" s="584">
        <f t="shared" ref="C429:P429" si="1490">C14+C30+C62+C78+C94+C111+C128+C46+C145+C162+C179+C197+C215+C232+C250+C267+C283+C298+C313+C328+C343+C358+C373+C388+C403+C418</f>
        <v>0</v>
      </c>
      <c r="D429" s="584">
        <f t="shared" si="1490"/>
        <v>0</v>
      </c>
      <c r="E429" s="584">
        <f t="shared" si="1490"/>
        <v>0</v>
      </c>
      <c r="F429" s="584">
        <f t="shared" si="1490"/>
        <v>0</v>
      </c>
      <c r="G429" s="584">
        <f t="shared" si="1490"/>
        <v>0</v>
      </c>
      <c r="H429" s="584">
        <f t="shared" si="1490"/>
        <v>0</v>
      </c>
      <c r="I429" s="584">
        <f t="shared" si="1490"/>
        <v>0</v>
      </c>
      <c r="J429" s="584">
        <f t="shared" si="1490"/>
        <v>0</v>
      </c>
      <c r="K429" s="584">
        <f t="shared" si="1490"/>
        <v>0</v>
      </c>
      <c r="L429" s="584">
        <f t="shared" si="1490"/>
        <v>0</v>
      </c>
      <c r="M429" s="584">
        <f t="shared" si="1490"/>
        <v>0</v>
      </c>
      <c r="N429" s="584">
        <f t="shared" si="1490"/>
        <v>0</v>
      </c>
      <c r="O429" s="584">
        <f t="shared" si="1490"/>
        <v>0</v>
      </c>
      <c r="P429" s="597">
        <f t="shared" si="1490"/>
        <v>0</v>
      </c>
    </row>
    <row r="430" spans="1:31">
      <c r="A430" s="599" t="s">
        <v>691</v>
      </c>
      <c r="B430" s="600" t="e">
        <f>B429/B428</f>
        <v>#DIV/0!</v>
      </c>
      <c r="C430" s="600" t="e">
        <f>C429/C428</f>
        <v>#DIV/0!</v>
      </c>
      <c r="D430" s="600" t="e">
        <f t="shared" ref="D430:P430" si="1491">D429/D428</f>
        <v>#DIV/0!</v>
      </c>
      <c r="E430" s="600" t="e">
        <f t="shared" si="1491"/>
        <v>#DIV/0!</v>
      </c>
      <c r="F430" s="600" t="e">
        <f t="shared" si="1491"/>
        <v>#DIV/0!</v>
      </c>
      <c r="G430" s="600" t="e">
        <f t="shared" si="1491"/>
        <v>#DIV/0!</v>
      </c>
      <c r="H430" s="600" t="e">
        <f t="shared" si="1491"/>
        <v>#DIV/0!</v>
      </c>
      <c r="I430" s="600" t="e">
        <f t="shared" si="1491"/>
        <v>#DIV/0!</v>
      </c>
      <c r="J430" s="600" t="e">
        <f t="shared" si="1491"/>
        <v>#DIV/0!</v>
      </c>
      <c r="K430" s="600" t="e">
        <f t="shared" si="1491"/>
        <v>#DIV/0!</v>
      </c>
      <c r="L430" s="600" t="e">
        <f t="shared" si="1491"/>
        <v>#DIV/0!</v>
      </c>
      <c r="M430" s="600" t="e">
        <f t="shared" si="1491"/>
        <v>#DIV/0!</v>
      </c>
      <c r="N430" s="600" t="e">
        <f t="shared" si="1491"/>
        <v>#DIV/0!</v>
      </c>
      <c r="O430" s="600" t="e">
        <f t="shared" si="1491"/>
        <v>#DIV/0!</v>
      </c>
      <c r="P430" s="601" t="e">
        <f t="shared" si="1491"/>
        <v>#DIV/0!</v>
      </c>
    </row>
  </sheetData>
  <sheetProtection algorithmName="SHA-512" hashValue="CS2ohJgiYlgWnZVkh0d7liFppKbDGAMe/NSw9vjyTx+FL69aYk5YDI6ftG0uV99Pbilu8U4tGa+5CVQ9qto6EQ==" saltValue="2tjIQFPoMRt0H8HdgPhKpg==" spinCount="100000" sheet="1" formatCells="0" formatColumns="0" formatRows="0"/>
  <phoneticPr fontId="0" type="noConversion"/>
  <pageMargins left="0.75" right="0.75" top="1" bottom="1" header="0.5" footer="0.5"/>
  <pageSetup scale="29" orientation="landscape" r:id="rId1"/>
  <headerFooter alignWithMargins="0">
    <oddFooter>&amp;L&amp;F
&amp;D&amp;T&amp;R&amp;"Times New Roman,Regular"&amp;8revision date:  8/6/2007</oddFooter>
  </headerFooter>
  <ignoredErrors>
    <ignoredError sqref="A221 B245 B279 B293:B294 E15:AO15" unlockedFormula="1"/>
    <ignoredError sqref="D430:P430" evalError="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H175"/>
  <sheetViews>
    <sheetView zoomScale="80" zoomScaleNormal="80" workbookViewId="0"/>
  </sheetViews>
  <sheetFormatPr defaultColWidth="8.75" defaultRowHeight="13.8" outlineLevelRow="1" outlineLevelCol="1"/>
  <cols>
    <col min="1" max="1" width="13.25" style="584" bestFit="1" customWidth="1"/>
    <col min="2" max="2" width="31.75" style="584" customWidth="1"/>
    <col min="3" max="3" width="12.58203125" style="584" bestFit="1" customWidth="1"/>
    <col min="4" max="4" width="14" style="584" customWidth="1"/>
    <col min="5" max="5" width="12.58203125" style="584" customWidth="1"/>
    <col min="6" max="19" width="10.75" style="584" customWidth="1"/>
    <col min="20" max="33" width="10.75" style="584" customWidth="1" outlineLevel="1"/>
    <col min="34" max="34" width="12.75" style="584" customWidth="1"/>
    <col min="35" max="16384" width="8.75" style="584"/>
  </cols>
  <sheetData>
    <row r="1" spans="1:34" ht="14.4" thickBot="1">
      <c r="A1" s="581" t="str">
        <f>assumptions!B2</f>
        <v>enter date</v>
      </c>
      <c r="B1" s="648" t="str">
        <f>assumptions!B1</f>
        <v>enter project name</v>
      </c>
      <c r="C1" s="649"/>
    </row>
    <row r="2" spans="1:34" ht="15" thickTop="1">
      <c r="B2" s="590" t="s">
        <v>694</v>
      </c>
      <c r="E2" s="782"/>
      <c r="P2" s="609" t="s">
        <v>695</v>
      </c>
      <c r="R2" s="609"/>
    </row>
    <row r="3" spans="1:34">
      <c r="B3" s="783"/>
    </row>
    <row r="4" spans="1:34" ht="27.6">
      <c r="B4" s="590"/>
      <c r="E4" s="797" t="s">
        <v>696</v>
      </c>
      <c r="F4" s="798"/>
      <c r="G4" s="798"/>
      <c r="H4" s="798"/>
      <c r="I4" s="798"/>
      <c r="J4" s="798"/>
      <c r="K4" s="798"/>
      <c r="L4" s="798"/>
      <c r="M4" s="798"/>
      <c r="N4" s="798"/>
      <c r="O4" s="797" t="s">
        <v>697</v>
      </c>
      <c r="P4" s="71"/>
      <c r="Q4" s="71"/>
      <c r="R4" s="71"/>
      <c r="S4" s="799" t="s">
        <v>698</v>
      </c>
      <c r="T4" s="71"/>
      <c r="U4" s="799"/>
      <c r="V4" s="799"/>
      <c r="W4" s="71"/>
      <c r="X4" s="71"/>
      <c r="Y4" s="71"/>
      <c r="Z4" s="71"/>
      <c r="AA4" s="71"/>
      <c r="AB4" s="71"/>
      <c r="AC4" s="71"/>
      <c r="AD4" s="71"/>
      <c r="AE4" s="71"/>
      <c r="AF4" s="71"/>
      <c r="AG4" s="71"/>
    </row>
    <row r="5" spans="1:34">
      <c r="E5" s="797"/>
      <c r="F5" s="71">
        <v>1</v>
      </c>
      <c r="G5" s="71">
        <v>2</v>
      </c>
      <c r="H5" s="71">
        <v>3</v>
      </c>
      <c r="I5" s="71">
        <v>4</v>
      </c>
      <c r="J5" s="71">
        <v>5</v>
      </c>
      <c r="K5" s="71">
        <v>6</v>
      </c>
      <c r="L5" s="71">
        <v>7</v>
      </c>
      <c r="M5" s="71">
        <v>8</v>
      </c>
      <c r="N5" s="71">
        <v>9</v>
      </c>
      <c r="O5" s="71">
        <v>10</v>
      </c>
      <c r="P5" s="799">
        <v>11</v>
      </c>
      <c r="Q5" s="71">
        <v>12</v>
      </c>
      <c r="R5" s="71">
        <v>13</v>
      </c>
      <c r="S5" s="71">
        <v>14</v>
      </c>
      <c r="T5" s="71">
        <v>15</v>
      </c>
      <c r="U5" s="71">
        <v>16</v>
      </c>
      <c r="V5" s="71">
        <v>17</v>
      </c>
      <c r="W5" s="71">
        <v>18</v>
      </c>
      <c r="X5" s="71">
        <v>19</v>
      </c>
      <c r="Y5" s="71">
        <v>20</v>
      </c>
      <c r="Z5" s="71">
        <v>21</v>
      </c>
      <c r="AA5" s="71">
        <v>22</v>
      </c>
      <c r="AB5" s="71">
        <v>23</v>
      </c>
      <c r="AC5" s="71">
        <v>24</v>
      </c>
      <c r="AD5" s="71">
        <v>25</v>
      </c>
      <c r="AE5" s="71">
        <v>26</v>
      </c>
      <c r="AF5" s="71">
        <v>27</v>
      </c>
      <c r="AG5" s="71">
        <v>28</v>
      </c>
    </row>
    <row r="6" spans="1:34">
      <c r="B6" s="590" t="s">
        <v>699</v>
      </c>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c r="AH6" s="321"/>
    </row>
    <row r="7" spans="1:34">
      <c r="A7" s="590"/>
      <c r="B7" s="750" t="str">
        <f>'sources-uses'!B4</f>
        <v>ACQUISITION</v>
      </c>
      <c r="C7" s="784"/>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row>
    <row r="8" spans="1:34">
      <c r="A8" s="590"/>
      <c r="B8" s="590" t="str">
        <f>'sources-uses'!B5</f>
        <v>Land</v>
      </c>
      <c r="D8" s="138">
        <f>'sources-uses'!C5</f>
        <v>0</v>
      </c>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140">
        <f>D8-SUM(E8:AG8)</f>
        <v>0</v>
      </c>
    </row>
    <row r="9" spans="1:34">
      <c r="A9" s="590"/>
      <c r="B9" s="590" t="str">
        <f>'sources-uses'!B6</f>
        <v>Purchase of Building</v>
      </c>
      <c r="D9" s="138">
        <f>'sources-uses'!C6</f>
        <v>0</v>
      </c>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140">
        <f t="shared" ref="AH9:AH15" si="0">D9-SUM(E9:AG9)</f>
        <v>0</v>
      </c>
    </row>
    <row r="10" spans="1:34">
      <c r="A10" s="590"/>
      <c r="B10" s="590" t="str">
        <f>'sources-uses'!B7</f>
        <v>Demolition (without replacement)</v>
      </c>
      <c r="D10" s="138">
        <f>'sources-uses'!C7</f>
        <v>0</v>
      </c>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140">
        <f t="shared" si="0"/>
        <v>0</v>
      </c>
    </row>
    <row r="11" spans="1:34">
      <c r="A11" s="590"/>
      <c r="B11" s="590" t="str">
        <f>'sources-uses'!B8</f>
        <v>Appraisal</v>
      </c>
      <c r="D11" s="138">
        <f>'sources-uses'!C8</f>
        <v>0</v>
      </c>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140">
        <f t="shared" si="0"/>
        <v>0</v>
      </c>
    </row>
    <row r="12" spans="1:34">
      <c r="A12" s="590"/>
      <c r="B12" s="590" t="str">
        <f>'sources-uses'!B9</f>
        <v>Legal - Title and Recording</v>
      </c>
      <c r="D12" s="138">
        <f>'sources-uses'!C9</f>
        <v>0</v>
      </c>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140">
        <f t="shared" si="0"/>
        <v>0</v>
      </c>
    </row>
    <row r="13" spans="1:34" ht="14.4" outlineLevel="1">
      <c r="A13" s="590"/>
      <c r="B13" s="665" t="str">
        <f>'sources-uses'!B10</f>
        <v>[Additional Field - Specify]</v>
      </c>
      <c r="D13" s="138">
        <f>'sources-uses'!C10</f>
        <v>0</v>
      </c>
      <c r="E13" s="76"/>
      <c r="F13" s="76"/>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140">
        <f t="shared" si="0"/>
        <v>0</v>
      </c>
    </row>
    <row r="14" spans="1:34" ht="14.4" outlineLevel="1">
      <c r="A14" s="590"/>
      <c r="B14" s="665" t="str">
        <f>'sources-uses'!B11</f>
        <v>[Additional Field - Specify]</v>
      </c>
      <c r="D14" s="138">
        <f>'sources-uses'!C11</f>
        <v>0</v>
      </c>
      <c r="E14" s="76"/>
      <c r="F14" s="76"/>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140">
        <f t="shared" si="0"/>
        <v>0</v>
      </c>
    </row>
    <row r="15" spans="1:34" ht="14.4" outlineLevel="1">
      <c r="A15" s="590"/>
      <c r="B15" s="665" t="str">
        <f>'sources-uses'!B12</f>
        <v>[Additional Field - Specify]</v>
      </c>
      <c r="D15" s="138">
        <f>'sources-uses'!C12</f>
        <v>0</v>
      </c>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140">
        <f t="shared" si="0"/>
        <v>0</v>
      </c>
    </row>
    <row r="16" spans="1:34">
      <c r="A16" s="590"/>
      <c r="B16" s="750" t="str">
        <f>'sources-uses'!B14</f>
        <v>CONSTRUCTION HARD COSTS</v>
      </c>
      <c r="C16" s="784"/>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row>
    <row r="17" spans="1:34">
      <c r="A17" s="590"/>
      <c r="B17" s="590" t="str">
        <f>'sources-uses'!B15</f>
        <v>Construction - Residential</v>
      </c>
      <c r="D17" s="138">
        <f>'sources-uses'!C15</f>
        <v>0</v>
      </c>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140">
        <f>D17-SUM(E17:AG17)</f>
        <v>0</v>
      </c>
    </row>
    <row r="18" spans="1:34">
      <c r="A18" s="590"/>
      <c r="B18" s="590" t="str">
        <f>'sources-uses'!B16</f>
        <v>Construction - Commercial</v>
      </c>
      <c r="D18" s="138">
        <f>'sources-uses'!C16</f>
        <v>0</v>
      </c>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140">
        <f t="shared" ref="AH18:AH28" si="1">D18-SUM(E18:AG18)</f>
        <v>0</v>
      </c>
    </row>
    <row r="19" spans="1:34">
      <c r="A19" s="590"/>
      <c r="B19" s="590" t="str">
        <f>'sources-uses'!B17</f>
        <v>Site Work</v>
      </c>
      <c r="D19" s="138">
        <f>'sources-uses'!C17</f>
        <v>0</v>
      </c>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140">
        <f t="shared" si="1"/>
        <v>0</v>
      </c>
    </row>
    <row r="20" spans="1:34">
      <c r="A20" s="590"/>
      <c r="B20" s="590" t="str">
        <f>'sources-uses'!B18</f>
        <v>Demolition - Construction</v>
      </c>
      <c r="D20" s="138">
        <f>'sources-uses'!C18</f>
        <v>0</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140">
        <f t="shared" si="1"/>
        <v>0</v>
      </c>
    </row>
    <row r="21" spans="1:34">
      <c r="A21" s="590"/>
      <c r="B21" s="590" t="str">
        <f>'sources-uses'!B19</f>
        <v>Commercial Fit Up</v>
      </c>
      <c r="D21" s="138">
        <f>'sources-uses'!C19</f>
        <v>0</v>
      </c>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140">
        <f t="shared" si="1"/>
        <v>0</v>
      </c>
    </row>
    <row r="22" spans="1:34">
      <c r="A22" s="590"/>
      <c r="B22" s="590" t="str">
        <f>'sources-uses'!B20</f>
        <v>Contractor Overhead</v>
      </c>
      <c r="D22" s="138">
        <f>'sources-uses'!C20</f>
        <v>0</v>
      </c>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140">
        <f t="shared" si="1"/>
        <v>0</v>
      </c>
    </row>
    <row r="23" spans="1:34">
      <c r="A23" s="590"/>
      <c r="B23" s="590" t="str">
        <f>'sources-uses'!B21</f>
        <v>Contractor Profit</v>
      </c>
      <c r="D23" s="138">
        <f>'sources-uses'!C21</f>
        <v>0</v>
      </c>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140">
        <f t="shared" si="1"/>
        <v>0</v>
      </c>
    </row>
    <row r="24" spans="1:34">
      <c r="A24" s="590"/>
      <c r="B24" s="590" t="str">
        <f>'sources-uses'!B22</f>
        <v>Contractor General Requirements</v>
      </c>
      <c r="D24" s="138">
        <f>'sources-uses'!C22</f>
        <v>0</v>
      </c>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140">
        <f t="shared" si="1"/>
        <v>0</v>
      </c>
    </row>
    <row r="25" spans="1:34">
      <c r="A25" s="590"/>
      <c r="B25" s="590" t="str">
        <f>'sources-uses'!B23</f>
        <v>Construction Contingency</v>
      </c>
      <c r="D25" s="138">
        <f>'sources-uses'!C23</f>
        <v>0</v>
      </c>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140">
        <f t="shared" si="1"/>
        <v>0</v>
      </c>
    </row>
    <row r="26" spans="1:34">
      <c r="A26" s="590"/>
      <c r="B26" s="590" t="str">
        <f>'sources-uses'!B24</f>
        <v>Construction Bond Fee</v>
      </c>
      <c r="D26" s="138">
        <f>'sources-uses'!C24</f>
        <v>0</v>
      </c>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140">
        <f t="shared" si="1"/>
        <v>0</v>
      </c>
    </row>
    <row r="27" spans="1:34">
      <c r="A27" s="590"/>
      <c r="B27" s="590" t="str">
        <f>'sources-uses'!B25</f>
        <v>Hazardous Materials Abatement</v>
      </c>
      <c r="D27" s="138">
        <f>'sources-uses'!C25</f>
        <v>0</v>
      </c>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140">
        <f t="shared" si="1"/>
        <v>0</v>
      </c>
    </row>
    <row r="28" spans="1:34">
      <c r="A28" s="590"/>
      <c r="B28" s="590" t="str">
        <f>'sources-uses'!B26</f>
        <v>Off-Site Improvements</v>
      </c>
      <c r="D28" s="138">
        <f>'sources-uses'!C26</f>
        <v>0</v>
      </c>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140">
        <f t="shared" si="1"/>
        <v>0</v>
      </c>
    </row>
    <row r="29" spans="1:34" outlineLevel="1">
      <c r="A29" s="590"/>
      <c r="B29" s="590" t="str">
        <f>'sources-uses'!B27</f>
        <v>Furnishings, Fixtures, &amp; Equipment</v>
      </c>
      <c r="D29" s="138">
        <f>'sources-uses'!C27</f>
        <v>0</v>
      </c>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140">
        <f t="shared" ref="AH29:AH34" si="2">D29-SUM(E29:AC29)</f>
        <v>0</v>
      </c>
    </row>
    <row r="30" spans="1:34" ht="14.4" outlineLevel="1">
      <c r="A30" s="590"/>
      <c r="B30" s="665" t="str">
        <f>'sources-uses'!B28</f>
        <v>[Additional Field - Specify]</v>
      </c>
      <c r="D30" s="138">
        <f>'sources-uses'!C28</f>
        <v>0</v>
      </c>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140">
        <f t="shared" si="2"/>
        <v>0</v>
      </c>
    </row>
    <row r="31" spans="1:34" ht="14.4" outlineLevel="1">
      <c r="A31" s="590"/>
      <c r="B31" s="665" t="str">
        <f>'sources-uses'!B29</f>
        <v>[Additional Field - Specify]</v>
      </c>
      <c r="D31" s="138">
        <f>'sources-uses'!C29</f>
        <v>0</v>
      </c>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140">
        <f t="shared" si="2"/>
        <v>0</v>
      </c>
    </row>
    <row r="32" spans="1:34" ht="14.4" outlineLevel="1">
      <c r="A32" s="590"/>
      <c r="B32" s="665" t="str">
        <f>'sources-uses'!B30</f>
        <v>[Additional Field - Specify]</v>
      </c>
      <c r="D32" s="138">
        <f>'sources-uses'!C30</f>
        <v>0</v>
      </c>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140">
        <f t="shared" si="2"/>
        <v>0</v>
      </c>
    </row>
    <row r="33" spans="1:34" ht="14.4" outlineLevel="1">
      <c r="A33" s="590"/>
      <c r="B33" s="665" t="str">
        <f>'sources-uses'!B31</f>
        <v>[Additional Field - Specify]</v>
      </c>
      <c r="D33" s="138">
        <f>'sources-uses'!C31</f>
        <v>0</v>
      </c>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140">
        <f t="shared" si="2"/>
        <v>0</v>
      </c>
    </row>
    <row r="34" spans="1:34" ht="14.4" outlineLevel="1">
      <c r="A34" s="590"/>
      <c r="B34" s="665" t="str">
        <f>'sources-uses'!B32</f>
        <v>[Additional Field - Specify]</v>
      </c>
      <c r="D34" s="138">
        <f>'sources-uses'!C32</f>
        <v>0</v>
      </c>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140">
        <f t="shared" si="2"/>
        <v>0</v>
      </c>
    </row>
    <row r="35" spans="1:34">
      <c r="A35" s="590"/>
      <c r="B35" s="750" t="str">
        <f>'sources-uses'!B35</f>
        <v>SOFT COSTS</v>
      </c>
      <c r="C35" s="784"/>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row>
    <row r="36" spans="1:34">
      <c r="A36" s="590"/>
      <c r="B36" s="590" t="str">
        <f>'sources-uses'!B36</f>
        <v>Architectural</v>
      </c>
      <c r="D36" s="138">
        <f>'sources-uses'!C36</f>
        <v>0</v>
      </c>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140">
        <f>D36-SUM(E36:AG36)</f>
        <v>0</v>
      </c>
    </row>
    <row r="37" spans="1:34">
      <c r="A37" s="590"/>
      <c r="B37" s="590" t="str">
        <f>'sources-uses'!B37</f>
        <v>Engineering</v>
      </c>
      <c r="D37" s="138">
        <f>'sources-uses'!C37</f>
        <v>0</v>
      </c>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140">
        <f t="shared" ref="AH37:AH69" si="3">D37-SUM(E37:AG37)</f>
        <v>0</v>
      </c>
    </row>
    <row r="38" spans="1:34">
      <c r="A38" s="590"/>
      <c r="B38" s="590" t="str">
        <f>'sources-uses'!B38</f>
        <v xml:space="preserve">A&amp;E Combined Contract </v>
      </c>
      <c r="D38" s="138">
        <f>'sources-uses'!C38</f>
        <v>0</v>
      </c>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140">
        <f t="shared" si="3"/>
        <v>0</v>
      </c>
    </row>
    <row r="39" spans="1:34">
      <c r="A39" s="590"/>
      <c r="B39" s="590" t="str">
        <f>'sources-uses'!B39</f>
        <v>Legal/Accounting</v>
      </c>
      <c r="D39" s="138">
        <f>'sources-uses'!C39</f>
        <v>0</v>
      </c>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140">
        <f t="shared" si="3"/>
        <v>0</v>
      </c>
    </row>
    <row r="40" spans="1:34">
      <c r="A40" s="590"/>
      <c r="B40" s="590" t="str">
        <f>'sources-uses'!B40</f>
        <v>Relocation</v>
      </c>
      <c r="D40" s="138">
        <f>'sources-uses'!C40</f>
        <v>0</v>
      </c>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140">
        <f t="shared" si="3"/>
        <v>0</v>
      </c>
    </row>
    <row r="41" spans="1:34">
      <c r="A41" s="590"/>
      <c r="B41" s="590" t="str">
        <f>'sources-uses'!B41</f>
        <v>Construction Inspections</v>
      </c>
      <c r="D41" s="138">
        <f>'sources-uses'!C41</f>
        <v>0</v>
      </c>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140">
        <f t="shared" si="3"/>
        <v>0</v>
      </c>
    </row>
    <row r="42" spans="1:34">
      <c r="A42" s="590"/>
      <c r="B42" s="590" t="str">
        <f>'sources-uses'!B42</f>
        <v>Environmental Assessment</v>
      </c>
      <c r="D42" s="138">
        <f>'sources-uses'!C42</f>
        <v>0</v>
      </c>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140">
        <f t="shared" si="3"/>
        <v>0</v>
      </c>
    </row>
    <row r="43" spans="1:34">
      <c r="A43" s="590"/>
      <c r="B43" s="590" t="str">
        <f>'sources-uses'!B43</f>
        <v>Energy Assessment</v>
      </c>
      <c r="D43" s="138">
        <f>'sources-uses'!C43</f>
        <v>0</v>
      </c>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140">
        <f t="shared" si="3"/>
        <v>0</v>
      </c>
    </row>
    <row r="44" spans="1:34">
      <c r="A44" s="590"/>
      <c r="B44" s="590" t="str">
        <f>'sources-uses'!B44</f>
        <v>Permits/Fees</v>
      </c>
      <c r="D44" s="138">
        <f>'sources-uses'!C44</f>
        <v>0</v>
      </c>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140">
        <f t="shared" si="3"/>
        <v>0</v>
      </c>
    </row>
    <row r="45" spans="1:34">
      <c r="A45" s="590"/>
      <c r="B45" s="590" t="str">
        <f>'sources-uses'!B45</f>
        <v>Market Study</v>
      </c>
      <c r="D45" s="138">
        <f>'sources-uses'!C45</f>
        <v>0</v>
      </c>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140">
        <f t="shared" si="3"/>
        <v>0</v>
      </c>
    </row>
    <row r="46" spans="1:34">
      <c r="A46" s="590"/>
      <c r="B46" s="590" t="str">
        <f>'sources-uses'!B46</f>
        <v>Cost Certification</v>
      </c>
      <c r="D46" s="138">
        <f>'sources-uses'!C46</f>
        <v>0</v>
      </c>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140">
        <f t="shared" si="3"/>
        <v>0</v>
      </c>
    </row>
    <row r="47" spans="1:34">
      <c r="A47" s="590"/>
      <c r="B47" s="590" t="str">
        <f>'sources-uses'!B47</f>
        <v>Capital Needs Assessment</v>
      </c>
      <c r="D47" s="138">
        <f>'sources-uses'!C47</f>
        <v>0</v>
      </c>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140">
        <f t="shared" si="3"/>
        <v>0</v>
      </c>
    </row>
    <row r="48" spans="1:34">
      <c r="A48" s="590"/>
      <c r="B48" s="590" t="str">
        <f>'sources-uses'!B48</f>
        <v>Construction Period Insurance</v>
      </c>
      <c r="D48" s="138">
        <f>'sources-uses'!C48</f>
        <v>0</v>
      </c>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140">
        <f t="shared" si="3"/>
        <v>0</v>
      </c>
    </row>
    <row r="49" spans="1:34">
      <c r="A49" s="590"/>
      <c r="B49" s="590" t="str">
        <f>'sources-uses'!B49</f>
        <v>Construction Loan Interest</v>
      </c>
      <c r="D49" s="138">
        <f>'sources-uses'!C49</f>
        <v>0</v>
      </c>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140">
        <f t="shared" si="3"/>
        <v>0</v>
      </c>
    </row>
    <row r="50" spans="1:34">
      <c r="A50" s="590"/>
      <c r="B50" s="590" t="str">
        <f>'sources-uses'!B50</f>
        <v>Construction Loan Origination Fee</v>
      </c>
      <c r="D50" s="138">
        <f>'sources-uses'!C50</f>
        <v>0</v>
      </c>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140">
        <f t="shared" si="3"/>
        <v>0</v>
      </c>
    </row>
    <row r="51" spans="1:34">
      <c r="A51" s="590"/>
      <c r="B51" s="590" t="str">
        <f>'sources-uses'!B51</f>
        <v>Taxes During Construction</v>
      </c>
      <c r="D51" s="138">
        <f>'sources-uses'!C51</f>
        <v>0</v>
      </c>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140">
        <f t="shared" si="3"/>
        <v>0</v>
      </c>
    </row>
    <row r="52" spans="1:34">
      <c r="A52" s="590"/>
      <c r="B52" s="590" t="str">
        <f>'sources-uses'!B52</f>
        <v>Clerk of the Works</v>
      </c>
      <c r="D52" s="138">
        <f>'sources-uses'!C52</f>
        <v>0</v>
      </c>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140">
        <f t="shared" si="3"/>
        <v>0</v>
      </c>
    </row>
    <row r="53" spans="1:34">
      <c r="A53" s="590"/>
      <c r="B53" s="590" t="str">
        <f>'sources-uses'!B53</f>
        <v>Marketing</v>
      </c>
      <c r="D53" s="138">
        <f>'sources-uses'!C53</f>
        <v>0</v>
      </c>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140">
        <f t="shared" si="3"/>
        <v>0</v>
      </c>
    </row>
    <row r="54" spans="1:34">
      <c r="A54" s="590"/>
      <c r="B54" s="590" t="str">
        <f>'sources-uses'!B54</f>
        <v>Tax Credit Fees</v>
      </c>
      <c r="D54" s="138">
        <f>'sources-uses'!C54</f>
        <v>0</v>
      </c>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140">
        <f t="shared" si="3"/>
        <v>0</v>
      </c>
    </row>
    <row r="55" spans="1:34">
      <c r="A55" s="590"/>
      <c r="B55" s="590" t="str">
        <f>'sources-uses'!B55</f>
        <v>Soft Cost Contingency</v>
      </c>
      <c r="D55" s="138">
        <f>'sources-uses'!C55</f>
        <v>0</v>
      </c>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140">
        <f t="shared" si="3"/>
        <v>0</v>
      </c>
    </row>
    <row r="56" spans="1:34">
      <c r="A56" s="590"/>
      <c r="B56" s="590" t="str">
        <f>'sources-uses'!B56</f>
        <v>Permanent Loan Origination Fee</v>
      </c>
      <c r="D56" s="138">
        <f>'sources-uses'!C56</f>
        <v>0</v>
      </c>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140">
        <f t="shared" si="3"/>
        <v>0</v>
      </c>
    </row>
    <row r="57" spans="1:34">
      <c r="A57" s="590"/>
      <c r="B57" s="590" t="str">
        <f>'sources-uses'!B57</f>
        <v>Lender's Counsel's Fee</v>
      </c>
      <c r="D57" s="138">
        <f>'sources-uses'!C57</f>
        <v>0</v>
      </c>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140">
        <f t="shared" si="3"/>
        <v>0</v>
      </c>
    </row>
    <row r="58" spans="1:34" ht="14.4">
      <c r="A58" s="590"/>
      <c r="B58" s="665" t="str">
        <f>'sources-uses'!B58</f>
        <v>[Additional Field - Specify]</v>
      </c>
      <c r="D58" s="138">
        <f>'sources-uses'!C58</f>
        <v>0</v>
      </c>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140">
        <f t="shared" si="3"/>
        <v>0</v>
      </c>
    </row>
    <row r="59" spans="1:34" ht="14.4">
      <c r="A59" s="590"/>
      <c r="B59" s="665" t="str">
        <f>'sources-uses'!B59</f>
        <v>[Additional Field - Specify]</v>
      </c>
      <c r="D59" s="138">
        <f>'sources-uses'!C59</f>
        <v>0</v>
      </c>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140">
        <f t="shared" si="3"/>
        <v>0</v>
      </c>
    </row>
    <row r="60" spans="1:34" ht="14.4">
      <c r="A60" s="590"/>
      <c r="B60" s="665" t="str">
        <f>'sources-uses'!B60</f>
        <v>[Additional Field - Specify]</v>
      </c>
      <c r="D60" s="138">
        <f>'sources-uses'!C60</f>
        <v>0</v>
      </c>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140">
        <f t="shared" si="3"/>
        <v>0</v>
      </c>
    </row>
    <row r="61" spans="1:34" ht="14.4">
      <c r="A61" s="590"/>
      <c r="B61" s="665" t="str">
        <f>'sources-uses'!B61</f>
        <v>[Additional Field - Specify]</v>
      </c>
      <c r="D61" s="138">
        <f>'sources-uses'!C61</f>
        <v>0</v>
      </c>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140">
        <f t="shared" si="3"/>
        <v>0</v>
      </c>
    </row>
    <row r="62" spans="1:34" ht="14.4">
      <c r="A62" s="590"/>
      <c r="B62" s="665" t="str">
        <f>'sources-uses'!B62</f>
        <v>[Additional Field - Specify]</v>
      </c>
      <c r="D62" s="138">
        <f>'sources-uses'!C62</f>
        <v>0</v>
      </c>
      <c r="E62" s="76"/>
      <c r="F62" s="76"/>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140">
        <f t="shared" si="3"/>
        <v>0</v>
      </c>
    </row>
    <row r="63" spans="1:34" ht="14.4">
      <c r="A63" s="590"/>
      <c r="B63" s="665" t="str">
        <f>'sources-uses'!B63</f>
        <v>[Additional Field - Specify]</v>
      </c>
      <c r="D63" s="138">
        <f>'sources-uses'!C63</f>
        <v>0</v>
      </c>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140">
        <f t="shared" si="3"/>
        <v>0</v>
      </c>
    </row>
    <row r="64" spans="1:34" ht="14.4">
      <c r="A64" s="590"/>
      <c r="B64" s="665" t="str">
        <f>'sources-uses'!B64</f>
        <v>[Additional Field - Specify]</v>
      </c>
      <c r="D64" s="138">
        <f>'sources-uses'!C64</f>
        <v>0</v>
      </c>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140">
        <f t="shared" si="3"/>
        <v>0</v>
      </c>
    </row>
    <row r="65" spans="1:34" ht="14.4">
      <c r="A65" s="590"/>
      <c r="B65" s="665" t="str">
        <f>'sources-uses'!B65</f>
        <v>[Additional Field - Specify]</v>
      </c>
      <c r="D65" s="138">
        <f>'sources-uses'!C65</f>
        <v>0</v>
      </c>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140">
        <f t="shared" si="3"/>
        <v>0</v>
      </c>
    </row>
    <row r="66" spans="1:34">
      <c r="A66" s="590"/>
      <c r="B66" s="750" t="str">
        <f>'sources-uses'!B67</f>
        <v>SYNDICATION COSTS</v>
      </c>
      <c r="C66" s="784"/>
      <c r="D66" s="139"/>
      <c r="E66" s="139"/>
      <c r="F66" s="139"/>
      <c r="G66" s="139"/>
      <c r="H66" s="139"/>
      <c r="I66" s="139"/>
      <c r="J66" s="139"/>
      <c r="K66" s="139"/>
      <c r="L66" s="139"/>
      <c r="M66" s="139"/>
      <c r="N66" s="139"/>
      <c r="O66" s="139"/>
      <c r="P66" s="139"/>
      <c r="Q66" s="139"/>
      <c r="R66" s="139"/>
      <c r="S66" s="139"/>
      <c r="T66" s="139"/>
      <c r="U66" s="139"/>
      <c r="V66" s="139"/>
      <c r="W66" s="139"/>
      <c r="X66" s="139"/>
      <c r="Y66" s="139"/>
      <c r="Z66" s="139"/>
      <c r="AA66" s="139"/>
      <c r="AB66" s="139"/>
      <c r="AC66" s="139"/>
      <c r="AD66" s="139"/>
      <c r="AE66" s="139"/>
      <c r="AF66" s="139"/>
      <c r="AG66" s="139"/>
      <c r="AH66" s="139"/>
    </row>
    <row r="67" spans="1:34">
      <c r="A67" s="590"/>
      <c r="B67" s="590" t="str">
        <f>'sources-uses'!B68</f>
        <v>Organizational (Partnership)</v>
      </c>
      <c r="D67" s="138">
        <f>'sources-uses'!C68</f>
        <v>0</v>
      </c>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140">
        <f t="shared" si="3"/>
        <v>0</v>
      </c>
    </row>
    <row r="68" spans="1:34">
      <c r="A68" s="590"/>
      <c r="B68" s="590" t="str">
        <f>'sources-uses'!B69</f>
        <v>Bridge Loan Fees and Expenses</v>
      </c>
      <c r="D68" s="138">
        <f>'sources-uses'!C69</f>
        <v>0</v>
      </c>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140">
        <f t="shared" si="3"/>
        <v>0</v>
      </c>
    </row>
    <row r="69" spans="1:34">
      <c r="A69" s="590"/>
      <c r="B69" s="590" t="str">
        <f>'sources-uses'!B70</f>
        <v>Syndication Consultant</v>
      </c>
      <c r="D69" s="138">
        <f>'sources-uses'!C70</f>
        <v>0</v>
      </c>
      <c r="E69" s="76"/>
      <c r="F69" s="76"/>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140">
        <f t="shared" si="3"/>
        <v>0</v>
      </c>
    </row>
    <row r="70" spans="1:34">
      <c r="A70" s="590"/>
      <c r="B70" s="590" t="str">
        <f>'sources-uses'!B71</f>
        <v>Tax Opinion</v>
      </c>
      <c r="D70" s="138">
        <f>'sources-uses'!C71</f>
        <v>0</v>
      </c>
      <c r="E70" s="76"/>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140">
        <f>D70-SUM(E70:AG70)</f>
        <v>0</v>
      </c>
    </row>
    <row r="71" spans="1:34" outlineLevel="1">
      <c r="A71" s="590"/>
      <c r="B71" s="590" t="str">
        <f>'sources-uses'!B72</f>
        <v>[Additional Field - Specify]</v>
      </c>
      <c r="D71" s="138">
        <f>'sources-uses'!C72</f>
        <v>0</v>
      </c>
      <c r="E71" s="76"/>
      <c r="F71" s="76"/>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140">
        <f t="shared" ref="AH71:AH73" si="4">D71-SUM(E71:AC71)</f>
        <v>0</v>
      </c>
    </row>
    <row r="72" spans="1:34" outlineLevel="1">
      <c r="A72" s="590"/>
      <c r="B72" s="590" t="str">
        <f>'sources-uses'!B73</f>
        <v>[Additional Field - Specify]</v>
      </c>
      <c r="D72" s="138">
        <f>'sources-uses'!C73</f>
        <v>0</v>
      </c>
      <c r="E72" s="76"/>
      <c r="F72" s="76"/>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140">
        <f t="shared" si="4"/>
        <v>0</v>
      </c>
    </row>
    <row r="73" spans="1:34" outlineLevel="1">
      <c r="A73" s="590"/>
      <c r="B73" s="590" t="str">
        <f>'sources-uses'!B74</f>
        <v>[Additional Field - Specify]</v>
      </c>
      <c r="D73" s="138">
        <f>'sources-uses'!C74</f>
        <v>0</v>
      </c>
      <c r="E73" s="76"/>
      <c r="F73" s="76"/>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140">
        <f t="shared" si="4"/>
        <v>0</v>
      </c>
    </row>
    <row r="74" spans="1:34">
      <c r="A74" s="590"/>
      <c r="B74" s="750" t="str">
        <f>'sources-uses'!B76</f>
        <v>DEVELOPER'S FEES</v>
      </c>
      <c r="C74" s="784"/>
      <c r="D74" s="139"/>
      <c r="E74" s="139"/>
      <c r="F74" s="139"/>
      <c r="G74" s="139"/>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row>
    <row r="75" spans="1:34">
      <c r="A75" s="590"/>
      <c r="B75" s="590" t="str">
        <f>'sources-uses'!B77</f>
        <v>Developer's Fees</v>
      </c>
      <c r="D75" s="138">
        <f>'sources-uses'!C77</f>
        <v>0</v>
      </c>
      <c r="E75" s="76"/>
      <c r="F75" s="76"/>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140">
        <f t="shared" ref="AH75:AH77" si="5">D75-SUM(E75:AG75)</f>
        <v>0</v>
      </c>
    </row>
    <row r="76" spans="1:34">
      <c r="A76" s="590"/>
      <c r="B76" s="590" t="str">
        <f>'sources-uses'!B78</f>
        <v>Other Partnership Fees</v>
      </c>
      <c r="D76" s="138">
        <f>'sources-uses'!C78</f>
        <v>0</v>
      </c>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140">
        <f t="shared" si="5"/>
        <v>0</v>
      </c>
    </row>
    <row r="77" spans="1:34">
      <c r="A77" s="590"/>
      <c r="B77" s="590" t="str">
        <f>'sources-uses'!B79</f>
        <v>Consultant Fees</v>
      </c>
      <c r="D77" s="138">
        <f>'sources-uses'!C79</f>
        <v>0</v>
      </c>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140">
        <f t="shared" si="5"/>
        <v>0</v>
      </c>
    </row>
    <row r="78" spans="1:34" outlineLevel="1">
      <c r="A78" s="590"/>
      <c r="B78" s="590" t="str">
        <f>'sources-uses'!B80</f>
        <v>[Additional Field - Specify]</v>
      </c>
      <c r="D78" s="138">
        <f>'sources-uses'!C80</f>
        <v>0</v>
      </c>
      <c r="E78" s="76"/>
      <c r="F78" s="76"/>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140">
        <f t="shared" ref="AH78:AH80" si="6">D78-SUM(E78:AC78)</f>
        <v>0</v>
      </c>
    </row>
    <row r="79" spans="1:34" outlineLevel="1">
      <c r="A79" s="590"/>
      <c r="B79" s="590" t="str">
        <f>'sources-uses'!B81</f>
        <v>[Additional Field - Specify]</v>
      </c>
      <c r="D79" s="138">
        <f>'sources-uses'!C81</f>
        <v>0</v>
      </c>
      <c r="E79" s="76"/>
      <c r="F79" s="76"/>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140">
        <f t="shared" si="6"/>
        <v>0</v>
      </c>
    </row>
    <row r="80" spans="1:34" outlineLevel="1">
      <c r="A80" s="590"/>
      <c r="B80" s="590" t="str">
        <f>'sources-uses'!B82</f>
        <v>[Additional Field - Specify]</v>
      </c>
      <c r="D80" s="138">
        <f>'sources-uses'!C82</f>
        <v>0</v>
      </c>
      <c r="E80" s="76"/>
      <c r="F80" s="76"/>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140">
        <f t="shared" si="6"/>
        <v>0</v>
      </c>
    </row>
    <row r="81" spans="1:34">
      <c r="A81" s="590"/>
      <c r="B81" s="750" t="str">
        <f>'sources-uses'!B84</f>
        <v>RESERVES</v>
      </c>
      <c r="C81" s="784"/>
      <c r="D81" s="139"/>
      <c r="E81" s="139"/>
      <c r="F81" s="139"/>
      <c r="G81" s="139"/>
      <c r="H81" s="139"/>
      <c r="I81" s="139"/>
      <c r="J81" s="139"/>
      <c r="K81" s="139"/>
      <c r="L81" s="139"/>
      <c r="M81" s="139"/>
      <c r="N81" s="139"/>
      <c r="O81" s="139"/>
      <c r="P81" s="139"/>
      <c r="Q81" s="139"/>
      <c r="R81" s="139"/>
      <c r="S81" s="139"/>
      <c r="T81" s="139"/>
      <c r="U81" s="139"/>
      <c r="V81" s="139"/>
      <c r="W81" s="139"/>
      <c r="X81" s="139"/>
      <c r="Y81" s="139"/>
      <c r="Z81" s="139"/>
      <c r="AA81" s="139"/>
      <c r="AB81" s="139"/>
      <c r="AC81" s="139"/>
      <c r="AD81" s="139"/>
      <c r="AE81" s="139"/>
      <c r="AF81" s="139"/>
      <c r="AG81" s="139"/>
      <c r="AH81" s="139"/>
    </row>
    <row r="82" spans="1:34">
      <c r="A82" s="590"/>
      <c r="B82" s="590" t="str">
        <f>'sources-uses'!B85</f>
        <v>Working Capital</v>
      </c>
      <c r="D82" s="138">
        <f>'sources-uses'!C85</f>
        <v>0</v>
      </c>
      <c r="E82" s="76"/>
      <c r="F82" s="76"/>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140">
        <f t="shared" ref="AH82:AH88" si="7">D82-SUM(E82:AG82)</f>
        <v>0</v>
      </c>
    </row>
    <row r="83" spans="1:34">
      <c r="A83" s="590"/>
      <c r="B83" s="590" t="str">
        <f>'sources-uses'!B86</f>
        <v>Rent-up (Deficit Escrow) Reserve</v>
      </c>
      <c r="D83" s="138">
        <f>'sources-uses'!C86</f>
        <v>0</v>
      </c>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140">
        <f t="shared" si="7"/>
        <v>0</v>
      </c>
    </row>
    <row r="84" spans="1:34">
      <c r="A84" s="590"/>
      <c r="B84" s="590" t="str">
        <f>'sources-uses'!B87</f>
        <v>Operating Reserves</v>
      </c>
      <c r="D84" s="138">
        <f>'sources-uses'!C87</f>
        <v>0</v>
      </c>
      <c r="E84" s="76"/>
      <c r="F84" s="76"/>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140">
        <f t="shared" si="7"/>
        <v>0</v>
      </c>
    </row>
    <row r="85" spans="1:34">
      <c r="A85" s="590"/>
      <c r="B85" s="590" t="str">
        <f>'sources-uses'!B88</f>
        <v>Replacement Reserves</v>
      </c>
      <c r="D85" s="138">
        <f>'sources-uses'!C88</f>
        <v>0</v>
      </c>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140">
        <f t="shared" si="7"/>
        <v>0</v>
      </c>
    </row>
    <row r="86" spans="1:34" outlineLevel="1">
      <c r="A86" s="590"/>
      <c r="B86" s="590" t="str">
        <f>'sources-uses'!B89</f>
        <v>[Additional Field - Specify]</v>
      </c>
      <c r="D86" s="138">
        <f>'sources-uses'!C89</f>
        <v>0</v>
      </c>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140">
        <f t="shared" si="7"/>
        <v>0</v>
      </c>
    </row>
    <row r="87" spans="1:34" outlineLevel="1">
      <c r="A87" s="590"/>
      <c r="B87" s="590" t="str">
        <f>'sources-uses'!B90</f>
        <v>[Additional Field - Specify]</v>
      </c>
      <c r="D87" s="138">
        <f>'sources-uses'!C90</f>
        <v>0</v>
      </c>
      <c r="E87" s="76"/>
      <c r="F87" s="76"/>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140">
        <f t="shared" si="7"/>
        <v>0</v>
      </c>
    </row>
    <row r="88" spans="1:34">
      <c r="A88" s="590"/>
      <c r="B88" s="687" t="s">
        <v>700</v>
      </c>
      <c r="D88" s="138"/>
      <c r="E88" s="76">
        <f>IF(E136&gt;0,-E136,0)</f>
        <v>0</v>
      </c>
      <c r="F88" s="76">
        <f t="shared" ref="F88:AC88" si="8">IF(F136&gt;0,-F136,0)</f>
        <v>0</v>
      </c>
      <c r="G88" s="76">
        <f t="shared" si="8"/>
        <v>0</v>
      </c>
      <c r="H88" s="76">
        <f t="shared" si="8"/>
        <v>0</v>
      </c>
      <c r="I88" s="76">
        <f t="shared" si="8"/>
        <v>0</v>
      </c>
      <c r="J88" s="76">
        <f t="shared" si="8"/>
        <v>0</v>
      </c>
      <c r="K88" s="76">
        <f t="shared" si="8"/>
        <v>0</v>
      </c>
      <c r="L88" s="76">
        <f t="shared" si="8"/>
        <v>0</v>
      </c>
      <c r="M88" s="76">
        <f t="shared" si="8"/>
        <v>0</v>
      </c>
      <c r="N88" s="76">
        <f t="shared" si="8"/>
        <v>0</v>
      </c>
      <c r="O88" s="76">
        <f t="shared" si="8"/>
        <v>0</v>
      </c>
      <c r="P88" s="76">
        <f t="shared" si="8"/>
        <v>0</v>
      </c>
      <c r="Q88" s="76">
        <f t="shared" si="8"/>
        <v>0</v>
      </c>
      <c r="R88" s="76">
        <f t="shared" si="8"/>
        <v>0</v>
      </c>
      <c r="S88" s="76">
        <f t="shared" si="8"/>
        <v>0</v>
      </c>
      <c r="T88" s="76">
        <f t="shared" si="8"/>
        <v>0</v>
      </c>
      <c r="U88" s="76">
        <f t="shared" si="8"/>
        <v>0</v>
      </c>
      <c r="V88" s="76">
        <f t="shared" si="8"/>
        <v>0</v>
      </c>
      <c r="W88" s="76">
        <f t="shared" si="8"/>
        <v>0</v>
      </c>
      <c r="X88" s="76">
        <f t="shared" si="8"/>
        <v>0</v>
      </c>
      <c r="Y88" s="76">
        <f t="shared" si="8"/>
        <v>0</v>
      </c>
      <c r="Z88" s="76">
        <f t="shared" si="8"/>
        <v>0</v>
      </c>
      <c r="AA88" s="76">
        <f t="shared" si="8"/>
        <v>0</v>
      </c>
      <c r="AB88" s="76">
        <f t="shared" si="8"/>
        <v>0</v>
      </c>
      <c r="AC88" s="76">
        <f t="shared" si="8"/>
        <v>0</v>
      </c>
      <c r="AD88" s="76"/>
      <c r="AE88" s="76"/>
      <c r="AF88" s="76"/>
      <c r="AG88" s="76"/>
      <c r="AH88" s="140">
        <f t="shared" si="7"/>
        <v>0</v>
      </c>
    </row>
    <row r="89" spans="1:34">
      <c r="B89" s="590" t="s">
        <v>450</v>
      </c>
      <c r="D89" s="136">
        <f>SUM(D8:D87)</f>
        <v>0</v>
      </c>
      <c r="E89" s="136">
        <f>SUM(E8:E87)</f>
        <v>0</v>
      </c>
      <c r="F89" s="136">
        <f>SUM(F8:F87)</f>
        <v>0</v>
      </c>
      <c r="G89" s="136">
        <f>SUM(G8:G87)</f>
        <v>0</v>
      </c>
      <c r="H89" s="136">
        <f t="shared" ref="H89:Q89" si="9">SUM(H8:H87)</f>
        <v>0</v>
      </c>
      <c r="I89" s="136">
        <f t="shared" si="9"/>
        <v>0</v>
      </c>
      <c r="J89" s="136">
        <f t="shared" si="9"/>
        <v>0</v>
      </c>
      <c r="K89" s="136">
        <f t="shared" si="9"/>
        <v>0</v>
      </c>
      <c r="L89" s="136">
        <f t="shared" si="9"/>
        <v>0</v>
      </c>
      <c r="M89" s="136">
        <f t="shared" si="9"/>
        <v>0</v>
      </c>
      <c r="N89" s="136">
        <f t="shared" si="9"/>
        <v>0</v>
      </c>
      <c r="O89" s="136">
        <f t="shared" si="9"/>
        <v>0</v>
      </c>
      <c r="P89" s="136">
        <f t="shared" si="9"/>
        <v>0</v>
      </c>
      <c r="Q89" s="136">
        <f t="shared" si="9"/>
        <v>0</v>
      </c>
      <c r="R89" s="136">
        <f>SUM(R8:R87)</f>
        <v>0</v>
      </c>
      <c r="S89" s="136">
        <f t="shared" ref="S89:AB89" si="10">SUM(S8:S87)</f>
        <v>0</v>
      </c>
      <c r="T89" s="136">
        <f t="shared" si="10"/>
        <v>0</v>
      </c>
      <c r="U89" s="136">
        <f t="shared" si="10"/>
        <v>0</v>
      </c>
      <c r="V89" s="136">
        <f t="shared" si="10"/>
        <v>0</v>
      </c>
      <c r="W89" s="136">
        <f t="shared" si="10"/>
        <v>0</v>
      </c>
      <c r="X89" s="136">
        <f t="shared" si="10"/>
        <v>0</v>
      </c>
      <c r="Y89" s="136">
        <f t="shared" si="10"/>
        <v>0</v>
      </c>
      <c r="Z89" s="136">
        <f t="shared" si="10"/>
        <v>0</v>
      </c>
      <c r="AA89" s="136">
        <f t="shared" si="10"/>
        <v>0</v>
      </c>
      <c r="AB89" s="136">
        <f t="shared" si="10"/>
        <v>0</v>
      </c>
      <c r="AC89" s="136">
        <f>SUM(AC8:AC87)</f>
        <v>0</v>
      </c>
      <c r="AD89" s="136">
        <f t="shared" ref="AD89:AF89" si="11">SUM(AD8:AD87)</f>
        <v>0</v>
      </c>
      <c r="AE89" s="136">
        <f t="shared" si="11"/>
        <v>0</v>
      </c>
      <c r="AF89" s="136">
        <f t="shared" si="11"/>
        <v>0</v>
      </c>
      <c r="AG89" s="136">
        <f>SUM(AG8:AG87)</f>
        <v>0</v>
      </c>
      <c r="AH89" s="140"/>
    </row>
    <row r="90" spans="1:34">
      <c r="B90" s="590"/>
      <c r="D90" s="301"/>
      <c r="E90" s="301"/>
      <c r="F90" s="301"/>
      <c r="G90" s="301"/>
      <c r="H90" s="301"/>
      <c r="I90" s="301"/>
      <c r="J90" s="301"/>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2"/>
    </row>
    <row r="91" spans="1:34">
      <c r="B91" s="590" t="s">
        <v>701</v>
      </c>
      <c r="D91" s="301"/>
      <c r="E91" s="301"/>
      <c r="F91" s="301"/>
      <c r="G91" s="301"/>
      <c r="H91" s="301"/>
      <c r="I91" s="301"/>
      <c r="J91" s="301"/>
      <c r="K91" s="301"/>
      <c r="L91" s="301"/>
      <c r="M91" s="301"/>
      <c r="N91" s="301"/>
      <c r="O91" s="301"/>
      <c r="P91" s="301"/>
      <c r="Q91" s="301"/>
      <c r="R91" s="301"/>
      <c r="S91" s="301"/>
      <c r="T91" s="301"/>
      <c r="U91" s="301"/>
      <c r="V91" s="301"/>
      <c r="W91" s="301"/>
      <c r="X91" s="301"/>
      <c r="Y91" s="301"/>
      <c r="Z91" s="301"/>
      <c r="AA91" s="301"/>
      <c r="AB91" s="301"/>
      <c r="AC91" s="301"/>
      <c r="AD91" s="301"/>
      <c r="AE91" s="301"/>
      <c r="AF91" s="301"/>
      <c r="AG91" s="301"/>
      <c r="AH91" s="302"/>
    </row>
    <row r="92" spans="1:34">
      <c r="B92" s="590" t="str">
        <f>assumptions!A21</f>
        <v>VHFA Tax Exempt Permanent Debt</v>
      </c>
      <c r="D92" s="321">
        <f>assumptions!B21</f>
        <v>0</v>
      </c>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137">
        <f>D92-SUM(E92:AG92)</f>
        <v>0</v>
      </c>
    </row>
    <row r="93" spans="1:34" outlineLevel="1">
      <c r="B93" s="590" t="str">
        <f>assumptions!A22</f>
        <v>VHFA Taxable Permanent Debt</v>
      </c>
      <c r="D93" s="321">
        <f>assumptions!B22</f>
        <v>0</v>
      </c>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137">
        <f t="shared" ref="AH93:AH128" si="12">D93-SUM(E93:AG93)</f>
        <v>0</v>
      </c>
    </row>
    <row r="94" spans="1:34" outlineLevel="1">
      <c r="B94" s="590" t="str">
        <f>assumptions!A23</f>
        <v>VHFA Housing Investments for Vermont (HIVE)</v>
      </c>
      <c r="D94" s="321">
        <f>assumptions!B23</f>
        <v>0</v>
      </c>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137"/>
    </row>
    <row r="95" spans="1:34" outlineLevel="1">
      <c r="B95" s="590" t="str">
        <f>assumptions!A24</f>
        <v>VHFA LIAC Permanent Debt</v>
      </c>
      <c r="D95" s="321">
        <f>assumptions!B24</f>
        <v>0</v>
      </c>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137"/>
    </row>
    <row r="96" spans="1:34" outlineLevel="1">
      <c r="B96" s="590" t="str">
        <f>assumptions!A25</f>
        <v>Non-VHFA Other Permanent Debt</v>
      </c>
      <c r="D96" s="321">
        <f>assumptions!B25</f>
        <v>0</v>
      </c>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137"/>
    </row>
    <row r="97" spans="2:34" ht="14.4" outlineLevel="1">
      <c r="B97" s="665" t="str">
        <f>assumptions!A26</f>
        <v>[Additional Field - Specify] (Amortizing)</v>
      </c>
      <c r="D97" s="321">
        <f>assumptions!B26</f>
        <v>0</v>
      </c>
      <c r="E97" s="77"/>
      <c r="F97" s="77"/>
      <c r="G97" s="77"/>
      <c r="H97" s="77"/>
      <c r="I97" s="77"/>
      <c r="J97" s="77"/>
      <c r="K97" s="77"/>
      <c r="L97" s="77"/>
      <c r="M97" s="77"/>
      <c r="N97" s="77"/>
      <c r="O97" s="77"/>
      <c r="P97" s="77"/>
      <c r="Q97" s="77"/>
      <c r="R97" s="77"/>
      <c r="S97" s="77"/>
      <c r="T97" s="77"/>
      <c r="U97" s="77"/>
      <c r="V97" s="77"/>
      <c r="W97" s="77"/>
      <c r="X97" s="77"/>
      <c r="Y97" s="77"/>
      <c r="Z97" s="77"/>
      <c r="AA97" s="77"/>
      <c r="AB97" s="77"/>
      <c r="AC97" s="77"/>
      <c r="AD97" s="77"/>
      <c r="AE97" s="77"/>
      <c r="AF97" s="77"/>
      <c r="AG97" s="77"/>
      <c r="AH97" s="137">
        <f t="shared" si="12"/>
        <v>0</v>
      </c>
    </row>
    <row r="98" spans="2:34" ht="14.4" outlineLevel="1">
      <c r="B98" s="665" t="str">
        <f>assumptions!A27</f>
        <v>[Additional Field - Specify] (Amortizing)</v>
      </c>
      <c r="D98" s="321">
        <f>assumptions!B27</f>
        <v>0</v>
      </c>
      <c r="E98" s="77"/>
      <c r="F98" s="77"/>
      <c r="G98" s="77"/>
      <c r="H98" s="77"/>
      <c r="I98" s="77"/>
      <c r="J98" s="77"/>
      <c r="K98" s="77"/>
      <c r="L98" s="77"/>
      <c r="M98" s="77"/>
      <c r="N98" s="77"/>
      <c r="O98" s="77"/>
      <c r="P98" s="77"/>
      <c r="Q98" s="77"/>
      <c r="R98" s="77"/>
      <c r="S98" s="77"/>
      <c r="T98" s="77"/>
      <c r="U98" s="77"/>
      <c r="V98" s="77"/>
      <c r="W98" s="77"/>
      <c r="X98" s="77"/>
      <c r="Y98" s="77"/>
      <c r="Z98" s="77"/>
      <c r="AA98" s="77"/>
      <c r="AB98" s="77"/>
      <c r="AC98" s="77"/>
      <c r="AD98" s="77"/>
      <c r="AE98" s="77"/>
      <c r="AF98" s="77"/>
      <c r="AG98" s="77"/>
      <c r="AH98" s="137">
        <f t="shared" si="12"/>
        <v>0</v>
      </c>
    </row>
    <row r="99" spans="2:34" ht="14.4" outlineLevel="1">
      <c r="B99" s="665" t="str">
        <f>assumptions!A28</f>
        <v>[Additional Field - Specify] (Amortizing)</v>
      </c>
      <c r="D99" s="321">
        <f>assumptions!B28</f>
        <v>0</v>
      </c>
      <c r="E99" s="77"/>
      <c r="F99" s="77"/>
      <c r="G99" s="77"/>
      <c r="H99" s="77"/>
      <c r="I99" s="77"/>
      <c r="J99" s="77"/>
      <c r="K99" s="77"/>
      <c r="L99" s="77"/>
      <c r="M99" s="77"/>
      <c r="N99" s="77"/>
      <c r="O99" s="77"/>
      <c r="P99" s="77"/>
      <c r="Q99" s="77"/>
      <c r="R99" s="77"/>
      <c r="S99" s="77"/>
      <c r="T99" s="77"/>
      <c r="U99" s="77"/>
      <c r="V99" s="77"/>
      <c r="W99" s="77"/>
      <c r="X99" s="77"/>
      <c r="Y99" s="77"/>
      <c r="Z99" s="77"/>
      <c r="AA99" s="77"/>
      <c r="AB99" s="77"/>
      <c r="AC99" s="77"/>
      <c r="AD99" s="77"/>
      <c r="AE99" s="77"/>
      <c r="AF99" s="77"/>
      <c r="AG99" s="77"/>
      <c r="AH99" s="137">
        <f t="shared" si="12"/>
        <v>0</v>
      </c>
    </row>
    <row r="100" spans="2:34">
      <c r="B100" s="590" t="str">
        <f>assumptions!A29</f>
        <v>AHP</v>
      </c>
      <c r="D100" s="321">
        <f>assumptions!B29</f>
        <v>0</v>
      </c>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137">
        <f t="shared" si="12"/>
        <v>0</v>
      </c>
    </row>
    <row r="101" spans="2:34">
      <c r="B101" s="590" t="str">
        <f>assumptions!A30</f>
        <v>HOME</v>
      </c>
      <c r="D101" s="321">
        <f>assumptions!B30</f>
        <v>0</v>
      </c>
      <c r="E101" s="76"/>
      <c r="F101" s="76"/>
      <c r="G101" s="76"/>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137">
        <f t="shared" si="12"/>
        <v>0</v>
      </c>
    </row>
    <row r="102" spans="2:34">
      <c r="B102" s="590" t="str">
        <f>assumptions!A31</f>
        <v>NHTF</v>
      </c>
      <c r="D102" s="321">
        <f>assumptions!B31</f>
        <v>0</v>
      </c>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137">
        <f t="shared" si="12"/>
        <v>0</v>
      </c>
    </row>
    <row r="103" spans="2:34">
      <c r="B103" s="590" t="str">
        <f>assumptions!A32</f>
        <v>VCDP</v>
      </c>
      <c r="D103" s="321">
        <f>assumptions!B32</f>
        <v>0</v>
      </c>
      <c r="E103" s="76"/>
      <c r="F103" s="76"/>
      <c r="G103" s="76"/>
      <c r="H103" s="76"/>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137">
        <f t="shared" si="12"/>
        <v>0</v>
      </c>
    </row>
    <row r="104" spans="2:34">
      <c r="B104" s="590" t="str">
        <f>assumptions!A33</f>
        <v>VHCB</v>
      </c>
      <c r="D104" s="321">
        <f>assumptions!B33</f>
        <v>0</v>
      </c>
      <c r="E104" s="76"/>
      <c r="F104" s="76"/>
      <c r="G104" s="76"/>
      <c r="H104" s="76"/>
      <c r="I104" s="76"/>
      <c r="J104" s="76"/>
      <c r="K104" s="76"/>
      <c r="L104" s="76"/>
      <c r="M104" s="76"/>
      <c r="N104" s="76"/>
      <c r="O104" s="76"/>
      <c r="P104" s="76"/>
      <c r="Q104" s="76"/>
      <c r="R104" s="76"/>
      <c r="S104" s="76"/>
      <c r="T104" s="76"/>
      <c r="U104" s="76"/>
      <c r="V104" s="76"/>
      <c r="W104" s="76"/>
      <c r="X104" s="76"/>
      <c r="Y104" s="76"/>
      <c r="Z104" s="76"/>
      <c r="AA104" s="76"/>
      <c r="AB104" s="76"/>
      <c r="AC104" s="76"/>
      <c r="AD104" s="76"/>
      <c r="AE104" s="76"/>
      <c r="AF104" s="76"/>
      <c r="AG104" s="76"/>
      <c r="AH104" s="137">
        <f t="shared" si="12"/>
        <v>0</v>
      </c>
    </row>
    <row r="105" spans="2:34">
      <c r="B105" s="590" t="str">
        <f>assumptions!A34</f>
        <v>VHCB Feasibility</v>
      </c>
      <c r="D105" s="321">
        <f>assumptions!B34</f>
        <v>0</v>
      </c>
      <c r="E105" s="76"/>
      <c r="F105" s="76"/>
      <c r="G105" s="76"/>
      <c r="H105" s="76"/>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G105" s="76"/>
      <c r="AH105" s="137">
        <f t="shared" si="12"/>
        <v>0</v>
      </c>
    </row>
    <row r="106" spans="2:34">
      <c r="B106" s="590" t="str">
        <f>assumptions!A35</f>
        <v>Energy Incentives</v>
      </c>
      <c r="D106" s="321">
        <f>assumptions!B35</f>
        <v>0</v>
      </c>
      <c r="E106" s="76"/>
      <c r="F106" s="76"/>
      <c r="G106" s="76"/>
      <c r="H106" s="76"/>
      <c r="I106" s="76"/>
      <c r="J106" s="76"/>
      <c r="K106" s="76"/>
      <c r="L106" s="76"/>
      <c r="M106" s="76"/>
      <c r="N106" s="76"/>
      <c r="O106" s="76"/>
      <c r="P106" s="76"/>
      <c r="Q106" s="76"/>
      <c r="R106" s="76"/>
      <c r="S106" s="76"/>
      <c r="T106" s="76"/>
      <c r="U106" s="76"/>
      <c r="V106" s="76"/>
      <c r="W106" s="76"/>
      <c r="X106" s="76"/>
      <c r="Y106" s="76"/>
      <c r="Z106" s="76"/>
      <c r="AA106" s="76"/>
      <c r="AB106" s="76"/>
      <c r="AC106" s="76"/>
      <c r="AD106" s="76"/>
      <c r="AE106" s="76"/>
      <c r="AF106" s="76"/>
      <c r="AG106" s="76"/>
      <c r="AH106" s="137">
        <f t="shared" si="12"/>
        <v>0</v>
      </c>
    </row>
    <row r="107" spans="2:34">
      <c r="B107" s="590" t="str">
        <f>assumptions!A36</f>
        <v>Deferred Developer Fee</v>
      </c>
      <c r="D107" s="321">
        <f>assumptions!B36</f>
        <v>0</v>
      </c>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137">
        <f t="shared" si="12"/>
        <v>0</v>
      </c>
    </row>
    <row r="108" spans="2:34" ht="14.4" outlineLevel="1">
      <c r="B108" s="665" t="str">
        <f>assumptions!A37</f>
        <v>[Additional Field - Specify] (Non-Amortizing)</v>
      </c>
      <c r="D108" s="321">
        <f>assumptions!B37</f>
        <v>0</v>
      </c>
      <c r="E108" s="76"/>
      <c r="F108" s="76"/>
      <c r="G108" s="76"/>
      <c r="H108" s="76"/>
      <c r="I108" s="76"/>
      <c r="J108" s="76"/>
      <c r="K108" s="76"/>
      <c r="L108" s="76"/>
      <c r="M108" s="76"/>
      <c r="N108" s="76"/>
      <c r="O108" s="76"/>
      <c r="P108" s="76"/>
      <c r="Q108" s="76"/>
      <c r="R108" s="76"/>
      <c r="S108" s="76"/>
      <c r="T108" s="76"/>
      <c r="U108" s="76"/>
      <c r="V108" s="76"/>
      <c r="W108" s="76"/>
      <c r="X108" s="76"/>
      <c r="Y108" s="76"/>
      <c r="Z108" s="76"/>
      <c r="AA108" s="76"/>
      <c r="AB108" s="76"/>
      <c r="AC108" s="76"/>
      <c r="AD108" s="76"/>
      <c r="AE108" s="76"/>
      <c r="AF108" s="76"/>
      <c r="AG108" s="76"/>
      <c r="AH108" s="137">
        <f t="shared" si="12"/>
        <v>0</v>
      </c>
    </row>
    <row r="109" spans="2:34" ht="14.4" outlineLevel="1">
      <c r="B109" s="665" t="str">
        <f>assumptions!A38</f>
        <v>[Additional Field - Specify] (Non-Amortizing)</v>
      </c>
      <c r="D109" s="321">
        <f>assumptions!B38</f>
        <v>0</v>
      </c>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137">
        <f t="shared" si="12"/>
        <v>0</v>
      </c>
    </row>
    <row r="110" spans="2:34" ht="14.4" outlineLevel="1">
      <c r="B110" s="665" t="str">
        <f>assumptions!A39</f>
        <v>[Additional Field - Specify] (Non-Amortizing)</v>
      </c>
      <c r="D110" s="321">
        <f>assumptions!B39</f>
        <v>0</v>
      </c>
      <c r="E110" s="76"/>
      <c r="F110" s="76"/>
      <c r="G110" s="76"/>
      <c r="H110" s="76"/>
      <c r="I110" s="76"/>
      <c r="J110" s="76"/>
      <c r="K110" s="76"/>
      <c r="L110" s="76"/>
      <c r="M110" s="76"/>
      <c r="N110" s="76"/>
      <c r="O110" s="76"/>
      <c r="P110" s="76"/>
      <c r="Q110" s="76"/>
      <c r="R110" s="76"/>
      <c r="S110" s="76"/>
      <c r="T110" s="76"/>
      <c r="U110" s="76"/>
      <c r="V110" s="76"/>
      <c r="W110" s="76"/>
      <c r="X110" s="76"/>
      <c r="Y110" s="76"/>
      <c r="Z110" s="76"/>
      <c r="AA110" s="76"/>
      <c r="AB110" s="76"/>
      <c r="AC110" s="76"/>
      <c r="AD110" s="76"/>
      <c r="AE110" s="76"/>
      <c r="AF110" s="76"/>
      <c r="AG110" s="76"/>
      <c r="AH110" s="137">
        <f t="shared" si="12"/>
        <v>0</v>
      </c>
    </row>
    <row r="111" spans="2:34" ht="14.4" outlineLevel="1">
      <c r="B111" s="665" t="str">
        <f>assumptions!A40</f>
        <v>[Additional Field - Specify] (Non-Amortizing)</v>
      </c>
      <c r="D111" s="321">
        <f>assumptions!B40</f>
        <v>0</v>
      </c>
      <c r="E111" s="76"/>
      <c r="F111" s="76"/>
      <c r="G111" s="76"/>
      <c r="H111" s="76"/>
      <c r="I111" s="76"/>
      <c r="J111" s="76"/>
      <c r="K111" s="76"/>
      <c r="L111" s="76"/>
      <c r="M111" s="76"/>
      <c r="N111" s="76"/>
      <c r="O111" s="76"/>
      <c r="P111" s="76"/>
      <c r="Q111" s="76"/>
      <c r="R111" s="76"/>
      <c r="S111" s="76"/>
      <c r="T111" s="76"/>
      <c r="U111" s="76"/>
      <c r="V111" s="76"/>
      <c r="W111" s="76"/>
      <c r="X111" s="76"/>
      <c r="Y111" s="76"/>
      <c r="Z111" s="76"/>
      <c r="AA111" s="76"/>
      <c r="AB111" s="76"/>
      <c r="AC111" s="76"/>
      <c r="AD111" s="76"/>
      <c r="AE111" s="76"/>
      <c r="AF111" s="76"/>
      <c r="AG111" s="76"/>
      <c r="AH111" s="137">
        <f t="shared" si="12"/>
        <v>0</v>
      </c>
    </row>
    <row r="112" spans="2:34" ht="14.4" outlineLevel="1">
      <c r="B112" s="665" t="str">
        <f>assumptions!A41</f>
        <v>[Additional Field - Specify] (Non-Amortizing)</v>
      </c>
      <c r="D112" s="321">
        <f>assumptions!B41</f>
        <v>0</v>
      </c>
      <c r="E112" s="76"/>
      <c r="F112" s="76"/>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137">
        <f t="shared" si="12"/>
        <v>0</v>
      </c>
    </row>
    <row r="113" spans="2:34" ht="14.4" outlineLevel="1">
      <c r="B113" s="665" t="str">
        <f>assumptions!A42</f>
        <v>[Additional Field - Specify] (Non-Amortizing)</v>
      </c>
      <c r="D113" s="321">
        <f>assumptions!B42</f>
        <v>0</v>
      </c>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76"/>
      <c r="AH113" s="137">
        <f t="shared" si="12"/>
        <v>0</v>
      </c>
    </row>
    <row r="114" spans="2:34" ht="14.4" outlineLevel="1">
      <c r="B114" s="665" t="str">
        <f>assumptions!A43</f>
        <v>[Additional Field - Specify] (Non-Amortizing)</v>
      </c>
      <c r="D114" s="321">
        <f>assumptions!B43</f>
        <v>0</v>
      </c>
      <c r="E114" s="76"/>
      <c r="F114" s="76"/>
      <c r="G114" s="76"/>
      <c r="H114" s="76"/>
      <c r="I114" s="76"/>
      <c r="J114" s="76"/>
      <c r="K114" s="76"/>
      <c r="L114" s="76"/>
      <c r="M114" s="76"/>
      <c r="N114" s="76"/>
      <c r="O114" s="76"/>
      <c r="P114" s="76"/>
      <c r="Q114" s="76"/>
      <c r="R114" s="76"/>
      <c r="S114" s="76"/>
      <c r="T114" s="76"/>
      <c r="U114" s="76"/>
      <c r="V114" s="76"/>
      <c r="W114" s="76"/>
      <c r="X114" s="76"/>
      <c r="Y114" s="76"/>
      <c r="Z114" s="76"/>
      <c r="AA114" s="76"/>
      <c r="AB114" s="76"/>
      <c r="AC114" s="76"/>
      <c r="AD114" s="76"/>
      <c r="AE114" s="76"/>
      <c r="AF114" s="76"/>
      <c r="AG114" s="76"/>
      <c r="AH114" s="137">
        <f t="shared" si="12"/>
        <v>0</v>
      </c>
    </row>
    <row r="115" spans="2:34" ht="14.4" outlineLevel="1">
      <c r="B115" s="665" t="str">
        <f>assumptions!A44</f>
        <v>[Additional Field - Specify] (Non-Amortizing)</v>
      </c>
      <c r="D115" s="321">
        <f>assumptions!B44</f>
        <v>0</v>
      </c>
      <c r="E115" s="76"/>
      <c r="F115" s="76"/>
      <c r="G115" s="76"/>
      <c r="H115" s="76"/>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G115" s="76"/>
      <c r="AH115" s="137">
        <f t="shared" si="12"/>
        <v>0</v>
      </c>
    </row>
    <row r="116" spans="2:34" ht="14.4" outlineLevel="1">
      <c r="B116" s="665" t="str">
        <f>assumptions!A45</f>
        <v>[Additional Field - Specify] (Non-Amortizing)</v>
      </c>
      <c r="D116" s="321">
        <f>assumptions!B45</f>
        <v>0</v>
      </c>
      <c r="E116" s="76"/>
      <c r="F116" s="76"/>
      <c r="G116" s="76"/>
      <c r="H116" s="76"/>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G116" s="76"/>
      <c r="AH116" s="137">
        <f t="shared" si="12"/>
        <v>0</v>
      </c>
    </row>
    <row r="117" spans="2:34" ht="14.4" outlineLevel="1">
      <c r="B117" s="665" t="str">
        <f>assumptions!A46</f>
        <v>[Additional Field - Specify] (Non-Amortizing)</v>
      </c>
      <c r="D117" s="321">
        <f>assumptions!B46</f>
        <v>0</v>
      </c>
      <c r="E117" s="76"/>
      <c r="F117" s="76"/>
      <c r="G117" s="76"/>
      <c r="H117" s="76"/>
      <c r="I117" s="76"/>
      <c r="J117" s="76"/>
      <c r="K117" s="76"/>
      <c r="L117" s="76"/>
      <c r="M117" s="76"/>
      <c r="N117" s="76"/>
      <c r="O117" s="76"/>
      <c r="P117" s="76"/>
      <c r="Q117" s="76"/>
      <c r="R117" s="76"/>
      <c r="S117" s="76"/>
      <c r="T117" s="76"/>
      <c r="U117" s="76"/>
      <c r="V117" s="76"/>
      <c r="W117" s="76"/>
      <c r="X117" s="76"/>
      <c r="Y117" s="76"/>
      <c r="Z117" s="76"/>
      <c r="AA117" s="76"/>
      <c r="AB117" s="76"/>
      <c r="AC117" s="76"/>
      <c r="AD117" s="76"/>
      <c r="AE117" s="76"/>
      <c r="AF117" s="76"/>
      <c r="AG117" s="76"/>
      <c r="AH117" s="137">
        <f t="shared" si="12"/>
        <v>0</v>
      </c>
    </row>
    <row r="118" spans="2:34">
      <c r="B118" s="590" t="str">
        <f>assumptions!A47</f>
        <v>General Partner Equity</v>
      </c>
      <c r="D118" s="321">
        <f>assumptions!B47</f>
        <v>0</v>
      </c>
      <c r="E118" s="76"/>
      <c r="F118" s="76"/>
      <c r="G118" s="76"/>
      <c r="H118" s="76"/>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G118" s="76"/>
      <c r="AH118" s="137">
        <f t="shared" si="12"/>
        <v>0</v>
      </c>
    </row>
    <row r="119" spans="2:34">
      <c r="B119" s="590" t="str">
        <f>assumptions!A48</f>
        <v>Existing Cash Accounts</v>
      </c>
      <c r="D119" s="321">
        <f>assumptions!B48</f>
        <v>0</v>
      </c>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137">
        <f t="shared" si="12"/>
        <v>0</v>
      </c>
    </row>
    <row r="120" spans="2:34">
      <c r="B120" s="590" t="str">
        <f>assumptions!A49</f>
        <v>Investment Tax Credit</v>
      </c>
      <c r="D120" s="321">
        <f>assumptions!B49</f>
        <v>0</v>
      </c>
      <c r="E120" s="76"/>
      <c r="F120" s="76"/>
      <c r="G120" s="76"/>
      <c r="H120" s="76"/>
      <c r="I120" s="76"/>
      <c r="J120" s="76"/>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c r="AH120" s="137">
        <f t="shared" si="12"/>
        <v>0</v>
      </c>
    </row>
    <row r="121" spans="2:34">
      <c r="B121" s="590" t="str">
        <f>assumptions!A50</f>
        <v>Historic Tax Credit Equity</v>
      </c>
      <c r="D121" s="321">
        <f>assumptions!B50</f>
        <v>0</v>
      </c>
      <c r="E121" s="76"/>
      <c r="F121" s="76"/>
      <c r="G121" s="76"/>
      <c r="H121" s="76"/>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G121" s="76"/>
      <c r="AH121" s="137">
        <f t="shared" si="12"/>
        <v>0</v>
      </c>
    </row>
    <row r="122" spans="2:34">
      <c r="B122" s="590" t="str">
        <f>assumptions!A51</f>
        <v>VHFA - Federal Tax Credit Equity</v>
      </c>
      <c r="D122" s="321">
        <f>assumptions!B51</f>
        <v>0</v>
      </c>
      <c r="E122" s="76"/>
      <c r="F122" s="76"/>
      <c r="G122" s="76"/>
      <c r="H122" s="76"/>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G122" s="76"/>
      <c r="AH122" s="137">
        <f t="shared" si="12"/>
        <v>0</v>
      </c>
    </row>
    <row r="123" spans="2:34">
      <c r="B123" s="590" t="str">
        <f>assumptions!A52</f>
        <v>VHFA - VT State Tax Credit Equity</v>
      </c>
      <c r="D123" s="321">
        <f>assumptions!B52</f>
        <v>0</v>
      </c>
      <c r="E123" s="76"/>
      <c r="F123" s="76"/>
      <c r="G123" s="76"/>
      <c r="H123" s="76"/>
      <c r="I123" s="76"/>
      <c r="J123" s="76"/>
      <c r="K123" s="76"/>
      <c r="L123" s="76"/>
      <c r="M123" s="76"/>
      <c r="N123" s="76"/>
      <c r="O123" s="76"/>
      <c r="P123" s="76"/>
      <c r="Q123" s="76"/>
      <c r="R123" s="76"/>
      <c r="S123" s="76"/>
      <c r="T123" s="76"/>
      <c r="U123" s="76"/>
      <c r="V123" s="76"/>
      <c r="W123" s="76"/>
      <c r="X123" s="76"/>
      <c r="Y123" s="76"/>
      <c r="Z123" s="76"/>
      <c r="AA123" s="76"/>
      <c r="AB123" s="76"/>
      <c r="AC123" s="76"/>
      <c r="AD123" s="76"/>
      <c r="AE123" s="76"/>
      <c r="AF123" s="76"/>
      <c r="AG123" s="76"/>
      <c r="AH123" s="137">
        <f t="shared" si="12"/>
        <v>0</v>
      </c>
    </row>
    <row r="124" spans="2:34" ht="14.4" outlineLevel="1">
      <c r="B124" s="665" t="str">
        <f>assumptions!A53</f>
        <v>[Additional Field - Specify]</v>
      </c>
      <c r="D124" s="321">
        <f>assumptions!B53</f>
        <v>0</v>
      </c>
      <c r="E124" s="76"/>
      <c r="F124" s="76"/>
      <c r="G124" s="76"/>
      <c r="H124" s="76"/>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G124" s="76"/>
      <c r="AH124" s="137">
        <f t="shared" si="12"/>
        <v>0</v>
      </c>
    </row>
    <row r="125" spans="2:34" ht="14.4" outlineLevel="1">
      <c r="B125" s="665" t="str">
        <f>assumptions!A54</f>
        <v>[Additional Field - Specify]</v>
      </c>
      <c r="D125" s="321">
        <f>assumptions!B54</f>
        <v>0</v>
      </c>
      <c r="E125" s="76"/>
      <c r="F125" s="76"/>
      <c r="G125" s="76"/>
      <c r="H125" s="76"/>
      <c r="I125" s="76"/>
      <c r="J125" s="76"/>
      <c r="K125" s="76"/>
      <c r="L125" s="76"/>
      <c r="M125" s="76"/>
      <c r="N125" s="76"/>
      <c r="O125" s="76"/>
      <c r="P125" s="76"/>
      <c r="Q125" s="76"/>
      <c r="R125" s="76"/>
      <c r="S125" s="76"/>
      <c r="T125" s="76"/>
      <c r="U125" s="76"/>
      <c r="V125" s="76"/>
      <c r="W125" s="76"/>
      <c r="X125" s="76"/>
      <c r="Y125" s="76"/>
      <c r="Z125" s="76"/>
      <c r="AA125" s="76"/>
      <c r="AB125" s="76"/>
      <c r="AC125" s="76"/>
      <c r="AD125" s="76"/>
      <c r="AE125" s="76"/>
      <c r="AF125" s="76"/>
      <c r="AG125" s="76"/>
      <c r="AH125" s="137">
        <f t="shared" si="12"/>
        <v>0</v>
      </c>
    </row>
    <row r="126" spans="2:34" ht="14.4" outlineLevel="1">
      <c r="B126" s="665" t="str">
        <f>assumptions!A55</f>
        <v>[Additional Field - Specify]</v>
      </c>
      <c r="D126" s="321">
        <f>assumptions!B55</f>
        <v>0</v>
      </c>
      <c r="E126" s="76"/>
      <c r="F126" s="76"/>
      <c r="G126" s="76"/>
      <c r="H126" s="76"/>
      <c r="I126" s="76"/>
      <c r="J126" s="76"/>
      <c r="K126" s="76"/>
      <c r="L126" s="76"/>
      <c r="M126" s="76"/>
      <c r="N126" s="76"/>
      <c r="O126" s="76"/>
      <c r="P126" s="76"/>
      <c r="Q126" s="76"/>
      <c r="R126" s="76"/>
      <c r="S126" s="76"/>
      <c r="T126" s="76"/>
      <c r="U126" s="76"/>
      <c r="V126" s="76"/>
      <c r="W126" s="76"/>
      <c r="X126" s="76"/>
      <c r="Y126" s="76"/>
      <c r="Z126" s="76"/>
      <c r="AA126" s="76"/>
      <c r="AB126" s="76"/>
      <c r="AC126" s="76"/>
      <c r="AD126" s="76"/>
      <c r="AE126" s="76"/>
      <c r="AF126" s="76"/>
      <c r="AG126" s="76"/>
      <c r="AH126" s="137">
        <f t="shared" si="12"/>
        <v>0</v>
      </c>
    </row>
    <row r="127" spans="2:34" ht="14.4" outlineLevel="1">
      <c r="B127" s="665" t="str">
        <f>assumptions!A56</f>
        <v>[Additional Field - Specify]</v>
      </c>
      <c r="D127" s="321">
        <f>assumptions!B56</f>
        <v>0</v>
      </c>
      <c r="E127" s="76"/>
      <c r="F127" s="76"/>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137">
        <f t="shared" si="12"/>
        <v>0</v>
      </c>
    </row>
    <row r="128" spans="2:34" ht="14.4" outlineLevel="1">
      <c r="B128" s="665" t="str">
        <f>assumptions!A57</f>
        <v>[Additional Field - Specify]</v>
      </c>
      <c r="D128" s="321">
        <f>assumptions!B57</f>
        <v>0</v>
      </c>
      <c r="E128" s="76"/>
      <c r="F128" s="76"/>
      <c r="G128" s="76"/>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137">
        <f t="shared" si="12"/>
        <v>0</v>
      </c>
    </row>
    <row r="129" spans="1:34">
      <c r="B129" s="590" t="s">
        <v>702</v>
      </c>
      <c r="D129" s="136">
        <f>SUM(D92:D128)</f>
        <v>0</v>
      </c>
      <c r="E129" s="136">
        <f t="shared" ref="E129:AG129" si="13">SUM(E92:E128)</f>
        <v>0</v>
      </c>
      <c r="F129" s="136">
        <f t="shared" si="13"/>
        <v>0</v>
      </c>
      <c r="G129" s="136">
        <f t="shared" si="13"/>
        <v>0</v>
      </c>
      <c r="H129" s="136">
        <f t="shared" si="13"/>
        <v>0</v>
      </c>
      <c r="I129" s="136">
        <f t="shared" si="13"/>
        <v>0</v>
      </c>
      <c r="J129" s="136">
        <f t="shared" si="13"/>
        <v>0</v>
      </c>
      <c r="K129" s="136">
        <f t="shared" si="13"/>
        <v>0</v>
      </c>
      <c r="L129" s="136">
        <f t="shared" si="13"/>
        <v>0</v>
      </c>
      <c r="M129" s="136">
        <f t="shared" si="13"/>
        <v>0</v>
      </c>
      <c r="N129" s="136">
        <f t="shared" si="13"/>
        <v>0</v>
      </c>
      <c r="O129" s="136">
        <f t="shared" si="13"/>
        <v>0</v>
      </c>
      <c r="P129" s="136">
        <f t="shared" si="13"/>
        <v>0</v>
      </c>
      <c r="Q129" s="136">
        <f t="shared" si="13"/>
        <v>0</v>
      </c>
      <c r="R129" s="136">
        <f t="shared" si="13"/>
        <v>0</v>
      </c>
      <c r="S129" s="136">
        <f t="shared" si="13"/>
        <v>0</v>
      </c>
      <c r="T129" s="136">
        <f t="shared" si="13"/>
        <v>0</v>
      </c>
      <c r="U129" s="136">
        <f t="shared" si="13"/>
        <v>0</v>
      </c>
      <c r="V129" s="136">
        <f t="shared" si="13"/>
        <v>0</v>
      </c>
      <c r="W129" s="136">
        <f t="shared" si="13"/>
        <v>0</v>
      </c>
      <c r="X129" s="136">
        <f t="shared" si="13"/>
        <v>0</v>
      </c>
      <c r="Y129" s="136">
        <f t="shared" si="13"/>
        <v>0</v>
      </c>
      <c r="Z129" s="136">
        <f t="shared" si="13"/>
        <v>0</v>
      </c>
      <c r="AA129" s="136">
        <f t="shared" si="13"/>
        <v>0</v>
      </c>
      <c r="AB129" s="136">
        <f t="shared" si="13"/>
        <v>0</v>
      </c>
      <c r="AC129" s="136">
        <f t="shared" si="13"/>
        <v>0</v>
      </c>
      <c r="AD129" s="136">
        <f t="shared" si="13"/>
        <v>0</v>
      </c>
      <c r="AE129" s="136">
        <f t="shared" si="13"/>
        <v>0</v>
      </c>
      <c r="AF129" s="136">
        <f t="shared" si="13"/>
        <v>0</v>
      </c>
      <c r="AG129" s="136">
        <f t="shared" si="13"/>
        <v>0</v>
      </c>
      <c r="AH129" s="140"/>
    </row>
    <row r="130" spans="1:34">
      <c r="B130" s="590"/>
      <c r="D130" s="135"/>
      <c r="E130" s="301"/>
      <c r="F130" s="301"/>
      <c r="G130" s="301"/>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140"/>
    </row>
    <row r="131" spans="1:34" ht="15.6">
      <c r="B131" s="590" t="s">
        <v>703</v>
      </c>
      <c r="C131" s="580"/>
      <c r="D131" s="580"/>
      <c r="E131" s="793">
        <f>E89-E129</f>
        <v>0</v>
      </c>
      <c r="F131" s="793">
        <f t="shared" ref="F131:AG131" si="14">F89-F129</f>
        <v>0</v>
      </c>
      <c r="G131" s="793">
        <f t="shared" si="14"/>
        <v>0</v>
      </c>
      <c r="H131" s="793">
        <f t="shared" si="14"/>
        <v>0</v>
      </c>
      <c r="I131" s="793">
        <f t="shared" si="14"/>
        <v>0</v>
      </c>
      <c r="J131" s="793">
        <f t="shared" si="14"/>
        <v>0</v>
      </c>
      <c r="K131" s="793">
        <f t="shared" si="14"/>
        <v>0</v>
      </c>
      <c r="L131" s="793">
        <f t="shared" si="14"/>
        <v>0</v>
      </c>
      <c r="M131" s="793">
        <f t="shared" si="14"/>
        <v>0</v>
      </c>
      <c r="N131" s="793">
        <f t="shared" si="14"/>
        <v>0</v>
      </c>
      <c r="O131" s="793">
        <f t="shared" si="14"/>
        <v>0</v>
      </c>
      <c r="P131" s="793">
        <f t="shared" si="14"/>
        <v>0</v>
      </c>
      <c r="Q131" s="793">
        <f t="shared" si="14"/>
        <v>0</v>
      </c>
      <c r="R131" s="793">
        <f t="shared" si="14"/>
        <v>0</v>
      </c>
      <c r="S131" s="793">
        <f t="shared" si="14"/>
        <v>0</v>
      </c>
      <c r="T131" s="793">
        <f t="shared" si="14"/>
        <v>0</v>
      </c>
      <c r="U131" s="793">
        <f t="shared" si="14"/>
        <v>0</v>
      </c>
      <c r="V131" s="793">
        <f t="shared" si="14"/>
        <v>0</v>
      </c>
      <c r="W131" s="793">
        <f t="shared" si="14"/>
        <v>0</v>
      </c>
      <c r="X131" s="793">
        <f t="shared" si="14"/>
        <v>0</v>
      </c>
      <c r="Y131" s="793">
        <f t="shared" si="14"/>
        <v>0</v>
      </c>
      <c r="Z131" s="793">
        <f t="shared" si="14"/>
        <v>0</v>
      </c>
      <c r="AA131" s="793">
        <f t="shared" si="14"/>
        <v>0</v>
      </c>
      <c r="AB131" s="793">
        <f t="shared" si="14"/>
        <v>0</v>
      </c>
      <c r="AC131" s="793">
        <f t="shared" si="14"/>
        <v>0</v>
      </c>
      <c r="AD131" s="793">
        <f t="shared" si="14"/>
        <v>0</v>
      </c>
      <c r="AE131" s="793">
        <f t="shared" si="14"/>
        <v>0</v>
      </c>
      <c r="AF131" s="793">
        <f t="shared" si="14"/>
        <v>0</v>
      </c>
      <c r="AG131" s="793">
        <f t="shared" si="14"/>
        <v>0</v>
      </c>
      <c r="AH131" s="321"/>
    </row>
    <row r="132" spans="1:34">
      <c r="A132" s="590"/>
      <c r="B132" s="590"/>
      <c r="D132" s="135"/>
      <c r="E132" s="301"/>
      <c r="F132" s="301"/>
      <c r="G132" s="301"/>
      <c r="H132" s="301"/>
      <c r="I132" s="301"/>
      <c r="J132" s="301"/>
      <c r="K132" s="301"/>
      <c r="L132" s="301"/>
      <c r="M132" s="301"/>
      <c r="N132" s="301"/>
      <c r="O132" s="301"/>
      <c r="P132" s="301"/>
      <c r="Q132" s="301"/>
      <c r="R132" s="301"/>
      <c r="S132" s="301"/>
      <c r="T132" s="301"/>
      <c r="U132" s="301"/>
      <c r="V132" s="301"/>
      <c r="W132" s="301"/>
      <c r="X132" s="301"/>
      <c r="Y132" s="301"/>
      <c r="Z132" s="301"/>
      <c r="AA132" s="301"/>
      <c r="AB132" s="301"/>
      <c r="AC132" s="301"/>
      <c r="AD132" s="301"/>
      <c r="AE132" s="301"/>
      <c r="AF132" s="301"/>
      <c r="AG132" s="301"/>
      <c r="AH132" s="140"/>
    </row>
    <row r="133" spans="1:34">
      <c r="A133" s="590"/>
      <c r="B133" s="795" t="s">
        <v>704</v>
      </c>
      <c r="D133" s="135"/>
      <c r="E133" s="301"/>
      <c r="F133" s="301"/>
      <c r="G133" s="301"/>
      <c r="H133" s="301"/>
      <c r="I133" s="301"/>
      <c r="J133" s="301"/>
      <c r="K133" s="301"/>
      <c r="L133" s="301"/>
      <c r="M133" s="301"/>
      <c r="N133" s="301"/>
      <c r="O133" s="301"/>
      <c r="P133" s="301"/>
      <c r="Q133" s="301"/>
      <c r="R133" s="301"/>
      <c r="S133" s="301"/>
      <c r="T133" s="301"/>
      <c r="U133" s="301"/>
      <c r="V133" s="301"/>
      <c r="W133" s="301"/>
      <c r="X133" s="301"/>
      <c r="Y133" s="301"/>
      <c r="Z133" s="301"/>
      <c r="AA133" s="301"/>
      <c r="AB133" s="301"/>
      <c r="AC133" s="301"/>
      <c r="AD133" s="301"/>
      <c r="AE133" s="301"/>
      <c r="AF133" s="301"/>
      <c r="AG133" s="301"/>
      <c r="AH133" s="140"/>
    </row>
    <row r="134" spans="1:34">
      <c r="A134" s="590"/>
      <c r="B134" s="796"/>
      <c r="D134" s="135"/>
      <c r="E134" s="301"/>
      <c r="F134" s="301"/>
      <c r="G134" s="301"/>
      <c r="H134" s="301"/>
      <c r="I134" s="301"/>
      <c r="J134" s="301"/>
      <c r="K134" s="301"/>
      <c r="L134" s="301"/>
      <c r="M134" s="301"/>
      <c r="N134" s="301"/>
      <c r="O134" s="301"/>
      <c r="P134" s="301"/>
      <c r="Q134" s="301"/>
      <c r="R134" s="301"/>
      <c r="S134" s="301"/>
      <c r="T134" s="301"/>
      <c r="U134" s="301"/>
      <c r="V134" s="301"/>
      <c r="W134" s="301"/>
      <c r="X134" s="301"/>
      <c r="Y134" s="301"/>
      <c r="Z134" s="301"/>
      <c r="AA134" s="301"/>
      <c r="AB134" s="301"/>
      <c r="AC134" s="301"/>
      <c r="AD134" s="301"/>
      <c r="AE134" s="301"/>
      <c r="AF134" s="301"/>
      <c r="AG134" s="301"/>
      <c r="AH134" s="140"/>
    </row>
    <row r="135" spans="1:34">
      <c r="B135" s="750" t="str">
        <f>assumptions!A68</f>
        <v>VHFA Tax Exempt Construction Debt</v>
      </c>
      <c r="C135" s="584" t="s">
        <v>705</v>
      </c>
      <c r="D135" s="135">
        <f>assumptions!B68</f>
        <v>0</v>
      </c>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321"/>
    </row>
    <row r="136" spans="1:34" ht="15.6">
      <c r="B136" s="590" t="s">
        <v>706</v>
      </c>
      <c r="C136" s="580"/>
      <c r="D136" s="580"/>
      <c r="E136" s="502">
        <v>0</v>
      </c>
      <c r="F136" s="502">
        <v>0</v>
      </c>
      <c r="G136" s="502">
        <v>0</v>
      </c>
      <c r="H136" s="502">
        <v>0</v>
      </c>
      <c r="I136" s="502">
        <v>0</v>
      </c>
      <c r="J136" s="502">
        <v>0</v>
      </c>
      <c r="K136" s="502">
        <v>0</v>
      </c>
      <c r="L136" s="502">
        <v>0</v>
      </c>
      <c r="M136" s="502">
        <v>0</v>
      </c>
      <c r="N136" s="502">
        <v>0</v>
      </c>
      <c r="O136" s="502">
        <v>0</v>
      </c>
      <c r="P136" s="502">
        <v>0</v>
      </c>
      <c r="Q136" s="502">
        <v>0</v>
      </c>
      <c r="R136" s="502">
        <v>0</v>
      </c>
      <c r="S136" s="502">
        <v>0</v>
      </c>
      <c r="T136" s="502">
        <v>0</v>
      </c>
      <c r="U136" s="502">
        <v>0</v>
      </c>
      <c r="V136" s="502">
        <v>0</v>
      </c>
      <c r="W136" s="502">
        <v>0</v>
      </c>
      <c r="X136" s="502">
        <v>0</v>
      </c>
      <c r="Y136" s="502">
        <v>0</v>
      </c>
      <c r="Z136" s="502">
        <v>0</v>
      </c>
      <c r="AA136" s="502">
        <v>0</v>
      </c>
      <c r="AB136" s="502">
        <v>0</v>
      </c>
      <c r="AC136" s="502">
        <v>0</v>
      </c>
      <c r="AD136" s="502">
        <v>0</v>
      </c>
      <c r="AE136" s="502">
        <v>0</v>
      </c>
      <c r="AF136" s="502">
        <v>0</v>
      </c>
      <c r="AG136" s="502">
        <v>0</v>
      </c>
      <c r="AH136" s="321"/>
    </row>
    <row r="137" spans="1:34" ht="15.6">
      <c r="B137" s="590" t="s">
        <v>707</v>
      </c>
      <c r="C137" s="580"/>
      <c r="D137" s="580"/>
      <c r="E137" s="580">
        <f>E136+D137</f>
        <v>0</v>
      </c>
      <c r="F137" s="580">
        <f>F136+E137</f>
        <v>0</v>
      </c>
      <c r="G137" s="580">
        <f>G136+F137</f>
        <v>0</v>
      </c>
      <c r="H137" s="580">
        <f t="shared" ref="H137:AG137" si="15">H136+G137</f>
        <v>0</v>
      </c>
      <c r="I137" s="580">
        <f t="shared" si="15"/>
        <v>0</v>
      </c>
      <c r="J137" s="580">
        <f t="shared" si="15"/>
        <v>0</v>
      </c>
      <c r="K137" s="580">
        <f t="shared" si="15"/>
        <v>0</v>
      </c>
      <c r="L137" s="580">
        <f t="shared" si="15"/>
        <v>0</v>
      </c>
      <c r="M137" s="580">
        <f t="shared" si="15"/>
        <v>0</v>
      </c>
      <c r="N137" s="580">
        <f t="shared" si="15"/>
        <v>0</v>
      </c>
      <c r="O137" s="580">
        <f t="shared" si="15"/>
        <v>0</v>
      </c>
      <c r="P137" s="580">
        <f t="shared" si="15"/>
        <v>0</v>
      </c>
      <c r="Q137" s="580">
        <f t="shared" si="15"/>
        <v>0</v>
      </c>
      <c r="R137" s="580">
        <f t="shared" si="15"/>
        <v>0</v>
      </c>
      <c r="S137" s="580">
        <f t="shared" si="15"/>
        <v>0</v>
      </c>
      <c r="T137" s="580">
        <f t="shared" si="15"/>
        <v>0</v>
      </c>
      <c r="U137" s="580">
        <f t="shared" si="15"/>
        <v>0</v>
      </c>
      <c r="V137" s="580">
        <f t="shared" si="15"/>
        <v>0</v>
      </c>
      <c r="W137" s="580">
        <f t="shared" si="15"/>
        <v>0</v>
      </c>
      <c r="X137" s="580">
        <f t="shared" si="15"/>
        <v>0</v>
      </c>
      <c r="Y137" s="580">
        <f t="shared" si="15"/>
        <v>0</v>
      </c>
      <c r="Z137" s="580">
        <f t="shared" si="15"/>
        <v>0</v>
      </c>
      <c r="AA137" s="580">
        <f t="shared" si="15"/>
        <v>0</v>
      </c>
      <c r="AB137" s="580">
        <f t="shared" si="15"/>
        <v>0</v>
      </c>
      <c r="AC137" s="580">
        <f t="shared" si="15"/>
        <v>0</v>
      </c>
      <c r="AD137" s="580">
        <f t="shared" si="15"/>
        <v>0</v>
      </c>
      <c r="AE137" s="580">
        <f t="shared" si="15"/>
        <v>0</v>
      </c>
      <c r="AF137" s="580">
        <f t="shared" si="15"/>
        <v>0</v>
      </c>
      <c r="AG137" s="580">
        <f t="shared" si="15"/>
        <v>0</v>
      </c>
      <c r="AH137" s="321"/>
    </row>
    <row r="138" spans="1:34" ht="15.6">
      <c r="B138" s="590" t="s">
        <v>708</v>
      </c>
      <c r="C138" s="580"/>
      <c r="D138" s="580"/>
      <c r="E138" s="502">
        <v>0</v>
      </c>
      <c r="F138" s="502">
        <v>0</v>
      </c>
      <c r="G138" s="502">
        <v>0</v>
      </c>
      <c r="H138" s="502">
        <v>0</v>
      </c>
      <c r="I138" s="502">
        <v>0</v>
      </c>
      <c r="J138" s="502">
        <v>0</v>
      </c>
      <c r="K138" s="502">
        <v>0</v>
      </c>
      <c r="L138" s="502">
        <v>0</v>
      </c>
      <c r="M138" s="502">
        <v>0</v>
      </c>
      <c r="N138" s="502">
        <v>0</v>
      </c>
      <c r="O138" s="502">
        <v>0</v>
      </c>
      <c r="P138" s="502">
        <v>0</v>
      </c>
      <c r="Q138" s="502">
        <v>0</v>
      </c>
      <c r="R138" s="502">
        <v>0</v>
      </c>
      <c r="S138" s="502">
        <v>0</v>
      </c>
      <c r="T138" s="502">
        <v>0</v>
      </c>
      <c r="U138" s="502">
        <v>0</v>
      </c>
      <c r="V138" s="502">
        <v>0</v>
      </c>
      <c r="W138" s="502">
        <v>0</v>
      </c>
      <c r="X138" s="502">
        <v>0</v>
      </c>
      <c r="Y138" s="502">
        <v>0</v>
      </c>
      <c r="Z138" s="502">
        <v>0</v>
      </c>
      <c r="AA138" s="502">
        <v>0</v>
      </c>
      <c r="AB138" s="502">
        <v>0</v>
      </c>
      <c r="AC138" s="502">
        <v>0</v>
      </c>
      <c r="AD138" s="502">
        <v>0</v>
      </c>
      <c r="AE138" s="502">
        <v>0</v>
      </c>
      <c r="AF138" s="502">
        <v>0</v>
      </c>
      <c r="AG138" s="502">
        <v>0</v>
      </c>
      <c r="AH138" s="321"/>
    </row>
    <row r="139" spans="1:34" ht="15.6">
      <c r="B139" s="590" t="s">
        <v>709</v>
      </c>
      <c r="C139" s="580"/>
      <c r="D139" s="580"/>
      <c r="E139" s="580">
        <f>SUM(E137+E138)</f>
        <v>0</v>
      </c>
      <c r="F139" s="580">
        <f>SUM(E139+F136+F138)</f>
        <v>0</v>
      </c>
      <c r="G139" s="580">
        <f>SUM(F139+G136+G138)</f>
        <v>0</v>
      </c>
      <c r="H139" s="580">
        <f t="shared" ref="H139:AG139" si="16">SUM(G139+H136+H138)</f>
        <v>0</v>
      </c>
      <c r="I139" s="580">
        <f t="shared" si="16"/>
        <v>0</v>
      </c>
      <c r="J139" s="580">
        <f t="shared" si="16"/>
        <v>0</v>
      </c>
      <c r="K139" s="580">
        <f t="shared" si="16"/>
        <v>0</v>
      </c>
      <c r="L139" s="580">
        <f t="shared" si="16"/>
        <v>0</v>
      </c>
      <c r="M139" s="580">
        <f t="shared" si="16"/>
        <v>0</v>
      </c>
      <c r="N139" s="580">
        <f t="shared" si="16"/>
        <v>0</v>
      </c>
      <c r="O139" s="580">
        <f t="shared" si="16"/>
        <v>0</v>
      </c>
      <c r="P139" s="580">
        <f t="shared" si="16"/>
        <v>0</v>
      </c>
      <c r="Q139" s="580">
        <f t="shared" si="16"/>
        <v>0</v>
      </c>
      <c r="R139" s="580">
        <f t="shared" si="16"/>
        <v>0</v>
      </c>
      <c r="S139" s="580">
        <f t="shared" si="16"/>
        <v>0</v>
      </c>
      <c r="T139" s="580">
        <f t="shared" si="16"/>
        <v>0</v>
      </c>
      <c r="U139" s="580">
        <f t="shared" si="16"/>
        <v>0</v>
      </c>
      <c r="V139" s="580">
        <f t="shared" si="16"/>
        <v>0</v>
      </c>
      <c r="W139" s="580">
        <f t="shared" si="16"/>
        <v>0</v>
      </c>
      <c r="X139" s="580">
        <f t="shared" si="16"/>
        <v>0</v>
      </c>
      <c r="Y139" s="580">
        <f t="shared" si="16"/>
        <v>0</v>
      </c>
      <c r="Z139" s="580">
        <f t="shared" si="16"/>
        <v>0</v>
      </c>
      <c r="AA139" s="580">
        <f t="shared" si="16"/>
        <v>0</v>
      </c>
      <c r="AB139" s="580">
        <f t="shared" si="16"/>
        <v>0</v>
      </c>
      <c r="AC139" s="580">
        <f t="shared" si="16"/>
        <v>0</v>
      </c>
      <c r="AD139" s="580">
        <f t="shared" si="16"/>
        <v>0</v>
      </c>
      <c r="AE139" s="580">
        <f t="shared" si="16"/>
        <v>0</v>
      </c>
      <c r="AF139" s="580">
        <f t="shared" si="16"/>
        <v>0</v>
      </c>
      <c r="AG139" s="580">
        <f t="shared" si="16"/>
        <v>0</v>
      </c>
      <c r="AH139" s="321"/>
    </row>
    <row r="140" spans="1:34" ht="15.6">
      <c r="B140" s="590" t="s">
        <v>710</v>
      </c>
      <c r="C140" s="785">
        <f>assumptions!D68</f>
        <v>0</v>
      </c>
      <c r="D140" s="580"/>
      <c r="E140" s="580">
        <v>0</v>
      </c>
      <c r="F140" s="580">
        <f t="shared" ref="F140:AG140" si="17">E139*($C$140/12)</f>
        <v>0</v>
      </c>
      <c r="G140" s="580">
        <f t="shared" si="17"/>
        <v>0</v>
      </c>
      <c r="H140" s="580">
        <f t="shared" si="17"/>
        <v>0</v>
      </c>
      <c r="I140" s="580">
        <f t="shared" si="17"/>
        <v>0</v>
      </c>
      <c r="J140" s="580">
        <f t="shared" si="17"/>
        <v>0</v>
      </c>
      <c r="K140" s="580">
        <f t="shared" si="17"/>
        <v>0</v>
      </c>
      <c r="L140" s="580">
        <f t="shared" si="17"/>
        <v>0</v>
      </c>
      <c r="M140" s="580">
        <f t="shared" si="17"/>
        <v>0</v>
      </c>
      <c r="N140" s="580">
        <f t="shared" si="17"/>
        <v>0</v>
      </c>
      <c r="O140" s="580">
        <f t="shared" si="17"/>
        <v>0</v>
      </c>
      <c r="P140" s="580">
        <f t="shared" si="17"/>
        <v>0</v>
      </c>
      <c r="Q140" s="580">
        <f t="shared" si="17"/>
        <v>0</v>
      </c>
      <c r="R140" s="580">
        <f t="shared" si="17"/>
        <v>0</v>
      </c>
      <c r="S140" s="580">
        <f t="shared" si="17"/>
        <v>0</v>
      </c>
      <c r="T140" s="580">
        <f t="shared" si="17"/>
        <v>0</v>
      </c>
      <c r="U140" s="580">
        <f t="shared" si="17"/>
        <v>0</v>
      </c>
      <c r="V140" s="580">
        <f t="shared" si="17"/>
        <v>0</v>
      </c>
      <c r="W140" s="580">
        <f t="shared" si="17"/>
        <v>0</v>
      </c>
      <c r="X140" s="580">
        <f t="shared" si="17"/>
        <v>0</v>
      </c>
      <c r="Y140" s="580">
        <f t="shared" si="17"/>
        <v>0</v>
      </c>
      <c r="Z140" s="580">
        <f t="shared" si="17"/>
        <v>0</v>
      </c>
      <c r="AA140" s="580">
        <f t="shared" si="17"/>
        <v>0</v>
      </c>
      <c r="AB140" s="580">
        <f t="shared" si="17"/>
        <v>0</v>
      </c>
      <c r="AC140" s="580">
        <f t="shared" si="17"/>
        <v>0</v>
      </c>
      <c r="AD140" s="580">
        <f t="shared" si="17"/>
        <v>0</v>
      </c>
      <c r="AE140" s="580">
        <f t="shared" si="17"/>
        <v>0</v>
      </c>
      <c r="AF140" s="580">
        <f t="shared" si="17"/>
        <v>0</v>
      </c>
      <c r="AG140" s="580">
        <f t="shared" si="17"/>
        <v>0</v>
      </c>
      <c r="AH140" s="321"/>
    </row>
    <row r="141" spans="1:34" ht="15.6">
      <c r="B141" s="590"/>
      <c r="C141" s="785"/>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321"/>
    </row>
    <row r="142" spans="1:34" ht="15.6">
      <c r="B142" s="590" t="s">
        <v>711</v>
      </c>
      <c r="C142" s="580" t="s">
        <v>712</v>
      </c>
      <c r="D142" s="794">
        <f>'credit calcs'!AE93</f>
        <v>0</v>
      </c>
      <c r="E142" s="786" t="str">
        <f>IF($D$142=0,"",E139/$D$142)</f>
        <v/>
      </c>
      <c r="F142" s="786" t="str">
        <f t="shared" ref="F142:AG142" si="18">IF($D$142=0,"",F139/$D$142)</f>
        <v/>
      </c>
      <c r="G142" s="786" t="str">
        <f t="shared" si="18"/>
        <v/>
      </c>
      <c r="H142" s="786" t="str">
        <f t="shared" si="18"/>
        <v/>
      </c>
      <c r="I142" s="786" t="str">
        <f t="shared" si="18"/>
        <v/>
      </c>
      <c r="J142" s="786" t="str">
        <f t="shared" si="18"/>
        <v/>
      </c>
      <c r="K142" s="786" t="str">
        <f t="shared" si="18"/>
        <v/>
      </c>
      <c r="L142" s="786" t="str">
        <f t="shared" si="18"/>
        <v/>
      </c>
      <c r="M142" s="786" t="str">
        <f t="shared" si="18"/>
        <v/>
      </c>
      <c r="N142" s="786" t="str">
        <f t="shared" si="18"/>
        <v/>
      </c>
      <c r="O142" s="786" t="str">
        <f t="shared" si="18"/>
        <v/>
      </c>
      <c r="P142" s="786" t="str">
        <f t="shared" si="18"/>
        <v/>
      </c>
      <c r="Q142" s="786" t="str">
        <f t="shared" si="18"/>
        <v/>
      </c>
      <c r="R142" s="786" t="str">
        <f t="shared" si="18"/>
        <v/>
      </c>
      <c r="S142" s="786" t="str">
        <f t="shared" si="18"/>
        <v/>
      </c>
      <c r="T142" s="786" t="str">
        <f t="shared" si="18"/>
        <v/>
      </c>
      <c r="U142" s="786" t="str">
        <f t="shared" si="18"/>
        <v/>
      </c>
      <c r="V142" s="786" t="str">
        <f t="shared" si="18"/>
        <v/>
      </c>
      <c r="W142" s="786" t="str">
        <f t="shared" si="18"/>
        <v/>
      </c>
      <c r="X142" s="786" t="str">
        <f t="shared" si="18"/>
        <v/>
      </c>
      <c r="Y142" s="786" t="str">
        <f t="shared" si="18"/>
        <v/>
      </c>
      <c r="Z142" s="786" t="str">
        <f t="shared" si="18"/>
        <v/>
      </c>
      <c r="AA142" s="786" t="str">
        <f t="shared" si="18"/>
        <v/>
      </c>
      <c r="AB142" s="786" t="str">
        <f t="shared" si="18"/>
        <v/>
      </c>
      <c r="AC142" s="786" t="str">
        <f t="shared" si="18"/>
        <v/>
      </c>
      <c r="AD142" s="786" t="str">
        <f t="shared" si="18"/>
        <v/>
      </c>
      <c r="AE142" s="786" t="str">
        <f t="shared" si="18"/>
        <v/>
      </c>
      <c r="AF142" s="786" t="str">
        <f t="shared" si="18"/>
        <v/>
      </c>
      <c r="AG142" s="786" t="str">
        <f t="shared" si="18"/>
        <v/>
      </c>
      <c r="AH142" s="321"/>
    </row>
    <row r="143" spans="1:34" ht="15.6">
      <c r="B143" s="590"/>
      <c r="C143" s="580"/>
      <c r="D143" s="501"/>
      <c r="E143" s="786"/>
      <c r="F143" s="786"/>
      <c r="G143" s="786"/>
      <c r="H143" s="786"/>
      <c r="I143" s="786"/>
      <c r="J143" s="786"/>
      <c r="K143" s="786"/>
      <c r="L143" s="786"/>
      <c r="M143" s="786"/>
      <c r="N143" s="786"/>
      <c r="O143" s="786"/>
      <c r="P143" s="786"/>
      <c r="Q143" s="786"/>
      <c r="R143" s="786"/>
      <c r="S143" s="786"/>
      <c r="T143" s="786"/>
      <c r="U143" s="786"/>
      <c r="V143" s="786"/>
      <c r="W143" s="786"/>
      <c r="X143" s="786"/>
      <c r="Y143" s="786"/>
      <c r="Z143" s="786"/>
      <c r="AA143" s="786"/>
      <c r="AB143" s="786"/>
      <c r="AH143" s="321"/>
    </row>
    <row r="144" spans="1:34">
      <c r="B144" s="750" t="str">
        <f>assumptions!A69</f>
        <v>VHFA Taxable Construction Debt</v>
      </c>
      <c r="C144" s="584" t="s">
        <v>705</v>
      </c>
      <c r="D144" s="135">
        <f>assumptions!B69</f>
        <v>0</v>
      </c>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321"/>
    </row>
    <row r="145" spans="2:34" ht="15.6">
      <c r="B145" s="590" t="s">
        <v>706</v>
      </c>
      <c r="C145" s="580"/>
      <c r="D145" s="580"/>
      <c r="E145" s="502">
        <v>0</v>
      </c>
      <c r="F145" s="502">
        <v>0</v>
      </c>
      <c r="G145" s="502">
        <v>0</v>
      </c>
      <c r="H145" s="502">
        <v>0</v>
      </c>
      <c r="I145" s="502">
        <v>0</v>
      </c>
      <c r="J145" s="502">
        <v>0</v>
      </c>
      <c r="K145" s="502">
        <v>0</v>
      </c>
      <c r="L145" s="502">
        <v>0</v>
      </c>
      <c r="M145" s="502">
        <v>0</v>
      </c>
      <c r="N145" s="502">
        <v>0</v>
      </c>
      <c r="O145" s="502">
        <v>0</v>
      </c>
      <c r="P145" s="502">
        <v>0</v>
      </c>
      <c r="Q145" s="502">
        <v>0</v>
      </c>
      <c r="R145" s="502">
        <v>0</v>
      </c>
      <c r="S145" s="502">
        <v>0</v>
      </c>
      <c r="T145" s="502">
        <v>0</v>
      </c>
      <c r="U145" s="502">
        <v>0</v>
      </c>
      <c r="V145" s="502">
        <v>0</v>
      </c>
      <c r="W145" s="502">
        <v>0</v>
      </c>
      <c r="X145" s="502">
        <v>0</v>
      </c>
      <c r="Y145" s="502">
        <v>0</v>
      </c>
      <c r="Z145" s="502">
        <v>0</v>
      </c>
      <c r="AA145" s="502">
        <v>0</v>
      </c>
      <c r="AB145" s="502">
        <v>0</v>
      </c>
      <c r="AC145" s="502">
        <v>0</v>
      </c>
      <c r="AD145" s="502">
        <v>0</v>
      </c>
      <c r="AE145" s="502">
        <v>0</v>
      </c>
      <c r="AF145" s="502">
        <v>0</v>
      </c>
      <c r="AG145" s="502">
        <v>0</v>
      </c>
      <c r="AH145" s="321"/>
    </row>
    <row r="146" spans="2:34" ht="15.6">
      <c r="B146" s="590" t="s">
        <v>707</v>
      </c>
      <c r="C146" s="580"/>
      <c r="D146" s="580"/>
      <c r="E146" s="580">
        <f>E145+D146</f>
        <v>0</v>
      </c>
      <c r="F146" s="580">
        <f>F145+E146</f>
        <v>0</v>
      </c>
      <c r="G146" s="580">
        <f>G145+F146</f>
        <v>0</v>
      </c>
      <c r="H146" s="580">
        <f t="shared" ref="H146" si="19">H145+G146</f>
        <v>0</v>
      </c>
      <c r="I146" s="580">
        <f t="shared" ref="I146" si="20">I145+H146</f>
        <v>0</v>
      </c>
      <c r="J146" s="580">
        <f t="shared" ref="J146" si="21">J145+I146</f>
        <v>0</v>
      </c>
      <c r="K146" s="580">
        <f t="shared" ref="K146" si="22">K145+J146</f>
        <v>0</v>
      </c>
      <c r="L146" s="580">
        <f t="shared" ref="L146" si="23">L145+K146</f>
        <v>0</v>
      </c>
      <c r="M146" s="580">
        <f t="shared" ref="M146" si="24">M145+L146</f>
        <v>0</v>
      </c>
      <c r="N146" s="580">
        <f t="shared" ref="N146" si="25">N145+M146</f>
        <v>0</v>
      </c>
      <c r="O146" s="580">
        <f t="shared" ref="O146" si="26">O145+N146</f>
        <v>0</v>
      </c>
      <c r="P146" s="580">
        <f t="shared" ref="P146" si="27">P145+O146</f>
        <v>0</v>
      </c>
      <c r="Q146" s="580">
        <f t="shared" ref="Q146" si="28">Q145+P146</f>
        <v>0</v>
      </c>
      <c r="R146" s="580">
        <f t="shared" ref="R146" si="29">R145+Q146</f>
        <v>0</v>
      </c>
      <c r="S146" s="580">
        <f t="shared" ref="S146" si="30">S145+R146</f>
        <v>0</v>
      </c>
      <c r="T146" s="580">
        <f t="shared" ref="T146" si="31">T145+S146</f>
        <v>0</v>
      </c>
      <c r="U146" s="580">
        <f t="shared" ref="U146" si="32">U145+T146</f>
        <v>0</v>
      </c>
      <c r="V146" s="580">
        <f t="shared" ref="V146" si="33">V145+U146</f>
        <v>0</v>
      </c>
      <c r="W146" s="580">
        <f t="shared" ref="W146" si="34">W145+V146</f>
        <v>0</v>
      </c>
      <c r="X146" s="580">
        <f t="shared" ref="X146" si="35">X145+W146</f>
        <v>0</v>
      </c>
      <c r="Y146" s="580">
        <f t="shared" ref="Y146" si="36">Y145+X146</f>
        <v>0</v>
      </c>
      <c r="Z146" s="580">
        <f t="shared" ref="Z146" si="37">Z145+Y146</f>
        <v>0</v>
      </c>
      <c r="AA146" s="580">
        <f t="shared" ref="AA146" si="38">AA145+Z146</f>
        <v>0</v>
      </c>
      <c r="AB146" s="580">
        <f t="shared" ref="AB146" si="39">AB145+AA146</f>
        <v>0</v>
      </c>
      <c r="AC146" s="580">
        <f t="shared" ref="AC146" si="40">AC145+AB146</f>
        <v>0</v>
      </c>
      <c r="AD146" s="580">
        <f t="shared" ref="AD146" si="41">AD145+AC146</f>
        <v>0</v>
      </c>
      <c r="AE146" s="580">
        <f t="shared" ref="AE146" si="42">AE145+AD146</f>
        <v>0</v>
      </c>
      <c r="AF146" s="580">
        <f t="shared" ref="AF146" si="43">AF145+AE146</f>
        <v>0</v>
      </c>
      <c r="AG146" s="580">
        <f t="shared" ref="AG146" si="44">AG145+AF146</f>
        <v>0</v>
      </c>
      <c r="AH146" s="321"/>
    </row>
    <row r="147" spans="2:34" ht="15.6">
      <c r="B147" s="590" t="s">
        <v>708</v>
      </c>
      <c r="C147" s="580"/>
      <c r="D147" s="580"/>
      <c r="E147" s="502">
        <v>0</v>
      </c>
      <c r="F147" s="502">
        <v>0</v>
      </c>
      <c r="G147" s="502">
        <v>0</v>
      </c>
      <c r="H147" s="502">
        <v>0</v>
      </c>
      <c r="I147" s="502">
        <v>0</v>
      </c>
      <c r="J147" s="502">
        <v>0</v>
      </c>
      <c r="K147" s="502">
        <v>0</v>
      </c>
      <c r="L147" s="502">
        <v>0</v>
      </c>
      <c r="M147" s="502">
        <v>0</v>
      </c>
      <c r="N147" s="502">
        <v>0</v>
      </c>
      <c r="O147" s="502">
        <v>0</v>
      </c>
      <c r="P147" s="502">
        <v>0</v>
      </c>
      <c r="Q147" s="502">
        <v>0</v>
      </c>
      <c r="R147" s="502">
        <v>0</v>
      </c>
      <c r="S147" s="502">
        <v>0</v>
      </c>
      <c r="T147" s="502">
        <v>0</v>
      </c>
      <c r="U147" s="502">
        <v>0</v>
      </c>
      <c r="V147" s="502">
        <v>0</v>
      </c>
      <c r="W147" s="502">
        <v>0</v>
      </c>
      <c r="X147" s="502">
        <v>0</v>
      </c>
      <c r="Y147" s="502">
        <v>0</v>
      </c>
      <c r="Z147" s="502">
        <v>0</v>
      </c>
      <c r="AA147" s="502">
        <v>0</v>
      </c>
      <c r="AB147" s="502">
        <v>0</v>
      </c>
      <c r="AC147" s="502">
        <v>0</v>
      </c>
      <c r="AD147" s="502">
        <v>0</v>
      </c>
      <c r="AE147" s="502">
        <v>0</v>
      </c>
      <c r="AF147" s="502">
        <v>0</v>
      </c>
      <c r="AG147" s="502">
        <v>0</v>
      </c>
      <c r="AH147" s="321"/>
    </row>
    <row r="148" spans="2:34" ht="15.6">
      <c r="B148" s="590" t="s">
        <v>709</v>
      </c>
      <c r="C148" s="580"/>
      <c r="D148" s="580"/>
      <c r="E148" s="580">
        <f>SUM(E146+E147)</f>
        <v>0</v>
      </c>
      <c r="F148" s="580">
        <f>SUM(E148+F145+F147)</f>
        <v>0</v>
      </c>
      <c r="G148" s="580">
        <f t="shared" ref="G148" si="45">SUM(F148+G145+G147)</f>
        <v>0</v>
      </c>
      <c r="H148" s="580">
        <f t="shared" ref="H148" si="46">SUM(G148+H145+H147)</f>
        <v>0</v>
      </c>
      <c r="I148" s="580">
        <f t="shared" ref="I148" si="47">SUM(H148+I145+I147)</f>
        <v>0</v>
      </c>
      <c r="J148" s="580">
        <f t="shared" ref="J148" si="48">SUM(I148+J145+J147)</f>
        <v>0</v>
      </c>
      <c r="K148" s="580">
        <f t="shared" ref="K148" si="49">SUM(J148+K145+K147)</f>
        <v>0</v>
      </c>
      <c r="L148" s="580">
        <f t="shared" ref="L148" si="50">SUM(K148+L145+L147)</f>
        <v>0</v>
      </c>
      <c r="M148" s="580">
        <f t="shared" ref="M148" si="51">SUM(L148+M145+M147)</f>
        <v>0</v>
      </c>
      <c r="N148" s="580">
        <f t="shared" ref="N148" si="52">SUM(M148+N145+N147)</f>
        <v>0</v>
      </c>
      <c r="O148" s="580">
        <f t="shared" ref="O148" si="53">SUM(N148+O145+O147)</f>
        <v>0</v>
      </c>
      <c r="P148" s="580">
        <f t="shared" ref="P148" si="54">SUM(O148+P145+P147)</f>
        <v>0</v>
      </c>
      <c r="Q148" s="580">
        <f t="shared" ref="Q148" si="55">SUM(P148+Q145+Q147)</f>
        <v>0</v>
      </c>
      <c r="R148" s="580">
        <f t="shared" ref="R148" si="56">SUM(Q148+R145+R147)</f>
        <v>0</v>
      </c>
      <c r="S148" s="580">
        <f t="shared" ref="S148" si="57">SUM(R148+S145+S147)</f>
        <v>0</v>
      </c>
      <c r="T148" s="580">
        <f t="shared" ref="T148" si="58">SUM(S148+T145+T147)</f>
        <v>0</v>
      </c>
      <c r="U148" s="580">
        <f t="shared" ref="U148" si="59">SUM(T148+U145+U147)</f>
        <v>0</v>
      </c>
      <c r="V148" s="580">
        <f t="shared" ref="V148" si="60">SUM(U148+V145+V147)</f>
        <v>0</v>
      </c>
      <c r="W148" s="580">
        <f t="shared" ref="W148" si="61">SUM(V148+W145+W147)</f>
        <v>0</v>
      </c>
      <c r="X148" s="580">
        <f t="shared" ref="X148" si="62">SUM(W148+X145+X147)</f>
        <v>0</v>
      </c>
      <c r="Y148" s="580">
        <f t="shared" ref="Y148" si="63">SUM(X148+Y145+Y147)</f>
        <v>0</v>
      </c>
      <c r="Z148" s="580">
        <f t="shared" ref="Z148" si="64">SUM(Y148+Z145+Z147)</f>
        <v>0</v>
      </c>
      <c r="AA148" s="580">
        <f t="shared" ref="AA148" si="65">SUM(Z148+AA145+AA147)</f>
        <v>0</v>
      </c>
      <c r="AB148" s="580">
        <f t="shared" ref="AB148" si="66">SUM(AA148+AB145+AB147)</f>
        <v>0</v>
      </c>
      <c r="AC148" s="580">
        <f t="shared" ref="AC148" si="67">SUM(AB148+AC145+AC147)</f>
        <v>0</v>
      </c>
      <c r="AD148" s="580">
        <f t="shared" ref="AD148" si="68">SUM(AC148+AD145+AD147)</f>
        <v>0</v>
      </c>
      <c r="AE148" s="580">
        <f t="shared" ref="AE148" si="69">SUM(AD148+AE145+AE147)</f>
        <v>0</v>
      </c>
      <c r="AF148" s="580">
        <f t="shared" ref="AF148" si="70">SUM(AE148+AF145+AF147)</f>
        <v>0</v>
      </c>
      <c r="AG148" s="580">
        <f t="shared" ref="AG148" si="71">SUM(AF148+AG145+AG147)</f>
        <v>0</v>
      </c>
      <c r="AH148" s="321"/>
    </row>
    <row r="149" spans="2:34" ht="15.6">
      <c r="B149" s="590" t="s">
        <v>710</v>
      </c>
      <c r="C149" s="785">
        <f>assumptions!D69</f>
        <v>0</v>
      </c>
      <c r="D149" s="580"/>
      <c r="E149" s="580">
        <v>0</v>
      </c>
      <c r="F149" s="580">
        <f>E148*($C$149/12)</f>
        <v>0</v>
      </c>
      <c r="G149" s="580">
        <f t="shared" ref="G149:AG149" si="72">F148*($C$149/12)</f>
        <v>0</v>
      </c>
      <c r="H149" s="580">
        <f t="shared" si="72"/>
        <v>0</v>
      </c>
      <c r="I149" s="580">
        <f t="shared" si="72"/>
        <v>0</v>
      </c>
      <c r="J149" s="580">
        <f t="shared" si="72"/>
        <v>0</v>
      </c>
      <c r="K149" s="580">
        <f t="shared" si="72"/>
        <v>0</v>
      </c>
      <c r="L149" s="580">
        <f t="shared" si="72"/>
        <v>0</v>
      </c>
      <c r="M149" s="580">
        <f t="shared" si="72"/>
        <v>0</v>
      </c>
      <c r="N149" s="580">
        <f t="shared" si="72"/>
        <v>0</v>
      </c>
      <c r="O149" s="580">
        <f t="shared" si="72"/>
        <v>0</v>
      </c>
      <c r="P149" s="580">
        <f t="shared" si="72"/>
        <v>0</v>
      </c>
      <c r="Q149" s="580">
        <f t="shared" si="72"/>
        <v>0</v>
      </c>
      <c r="R149" s="580">
        <f t="shared" si="72"/>
        <v>0</v>
      </c>
      <c r="S149" s="580">
        <f t="shared" si="72"/>
        <v>0</v>
      </c>
      <c r="T149" s="580">
        <f t="shared" si="72"/>
        <v>0</v>
      </c>
      <c r="U149" s="580">
        <f t="shared" si="72"/>
        <v>0</v>
      </c>
      <c r="V149" s="580">
        <f t="shared" si="72"/>
        <v>0</v>
      </c>
      <c r="W149" s="580">
        <f t="shared" si="72"/>
        <v>0</v>
      </c>
      <c r="X149" s="580">
        <f t="shared" si="72"/>
        <v>0</v>
      </c>
      <c r="Y149" s="580">
        <f t="shared" si="72"/>
        <v>0</v>
      </c>
      <c r="Z149" s="580">
        <f t="shared" si="72"/>
        <v>0</v>
      </c>
      <c r="AA149" s="580">
        <f t="shared" si="72"/>
        <v>0</v>
      </c>
      <c r="AB149" s="580">
        <f t="shared" si="72"/>
        <v>0</v>
      </c>
      <c r="AC149" s="580">
        <f t="shared" si="72"/>
        <v>0</v>
      </c>
      <c r="AD149" s="580">
        <f t="shared" si="72"/>
        <v>0</v>
      </c>
      <c r="AE149" s="580">
        <f t="shared" si="72"/>
        <v>0</v>
      </c>
      <c r="AF149" s="580">
        <f t="shared" si="72"/>
        <v>0</v>
      </c>
      <c r="AG149" s="580">
        <f t="shared" si="72"/>
        <v>0</v>
      </c>
      <c r="AH149" s="321"/>
    </row>
    <row r="150" spans="2:34" ht="15.6">
      <c r="B150" s="590"/>
      <c r="C150" s="787"/>
      <c r="D150" s="580"/>
      <c r="E150" s="580"/>
      <c r="F150" s="580"/>
      <c r="G150" s="580"/>
      <c r="H150" s="580"/>
      <c r="I150" s="580"/>
      <c r="J150" s="580"/>
      <c r="K150" s="580"/>
      <c r="L150" s="580"/>
      <c r="M150" s="580"/>
      <c r="N150" s="580"/>
      <c r="O150" s="580"/>
      <c r="P150" s="788"/>
      <c r="Q150" s="580"/>
      <c r="R150" s="580"/>
      <c r="S150" s="580"/>
      <c r="T150" s="580"/>
      <c r="U150" s="580"/>
      <c r="V150" s="580"/>
      <c r="W150" s="580"/>
      <c r="X150" s="580"/>
      <c r="Y150" s="580"/>
      <c r="Z150" s="580"/>
      <c r="AA150" s="580"/>
      <c r="AB150" s="580"/>
      <c r="AH150" s="321"/>
    </row>
    <row r="151" spans="2:34">
      <c r="B151" s="590"/>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H151" s="321"/>
    </row>
    <row r="152" spans="2:34">
      <c r="B152" s="750" t="str">
        <f>assumptions!A70</f>
        <v>Non-VHFA Other Construction Debt</v>
      </c>
      <c r="C152" s="584" t="s">
        <v>705</v>
      </c>
      <c r="D152" s="135">
        <f>assumptions!B70</f>
        <v>0</v>
      </c>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321"/>
    </row>
    <row r="153" spans="2:34" ht="15.6">
      <c r="B153" s="590" t="s">
        <v>706</v>
      </c>
      <c r="C153" s="580"/>
      <c r="D153" s="580"/>
      <c r="E153" s="502">
        <v>0</v>
      </c>
      <c r="F153" s="502">
        <v>0</v>
      </c>
      <c r="G153" s="502">
        <v>0</v>
      </c>
      <c r="H153" s="502">
        <v>0</v>
      </c>
      <c r="I153" s="502">
        <v>0</v>
      </c>
      <c r="J153" s="502">
        <v>0</v>
      </c>
      <c r="K153" s="502">
        <v>0</v>
      </c>
      <c r="L153" s="502">
        <v>0</v>
      </c>
      <c r="M153" s="502">
        <v>0</v>
      </c>
      <c r="N153" s="502">
        <v>0</v>
      </c>
      <c r="O153" s="502">
        <v>0</v>
      </c>
      <c r="P153" s="502">
        <v>0</v>
      </c>
      <c r="Q153" s="502">
        <v>0</v>
      </c>
      <c r="R153" s="502">
        <v>0</v>
      </c>
      <c r="S153" s="502">
        <v>0</v>
      </c>
      <c r="T153" s="502">
        <v>0</v>
      </c>
      <c r="U153" s="502">
        <v>0</v>
      </c>
      <c r="V153" s="502">
        <v>0</v>
      </c>
      <c r="W153" s="502">
        <v>0</v>
      </c>
      <c r="X153" s="502">
        <v>0</v>
      </c>
      <c r="Y153" s="502">
        <v>0</v>
      </c>
      <c r="Z153" s="502">
        <v>0</v>
      </c>
      <c r="AA153" s="502">
        <v>0</v>
      </c>
      <c r="AB153" s="502">
        <v>0</v>
      </c>
      <c r="AC153" s="502">
        <v>0</v>
      </c>
      <c r="AD153" s="502">
        <v>0</v>
      </c>
      <c r="AE153" s="502">
        <v>0</v>
      </c>
      <c r="AF153" s="502">
        <v>0</v>
      </c>
      <c r="AG153" s="502">
        <v>0</v>
      </c>
      <c r="AH153" s="321"/>
    </row>
    <row r="154" spans="2:34" ht="15.6">
      <c r="B154" s="590" t="s">
        <v>707</v>
      </c>
      <c r="C154" s="580"/>
      <c r="D154" s="580"/>
      <c r="E154" s="580">
        <f>E153+D154</f>
        <v>0</v>
      </c>
      <c r="F154" s="580">
        <f>F153+E154</f>
        <v>0</v>
      </c>
      <c r="G154" s="580">
        <f>G153+F154</f>
        <v>0</v>
      </c>
      <c r="H154" s="580">
        <f t="shared" ref="H154" si="73">H153+G154</f>
        <v>0</v>
      </c>
      <c r="I154" s="580">
        <f t="shared" ref="I154" si="74">I153+H154</f>
        <v>0</v>
      </c>
      <c r="J154" s="580">
        <f t="shared" ref="J154" si="75">J153+I154</f>
        <v>0</v>
      </c>
      <c r="K154" s="580">
        <f t="shared" ref="K154" si="76">K153+J154</f>
        <v>0</v>
      </c>
      <c r="L154" s="580">
        <f t="shared" ref="L154" si="77">L153+K154</f>
        <v>0</v>
      </c>
      <c r="M154" s="580">
        <f t="shared" ref="M154" si="78">M153+L154</f>
        <v>0</v>
      </c>
      <c r="N154" s="580">
        <f t="shared" ref="N154" si="79">N153+M154</f>
        <v>0</v>
      </c>
      <c r="O154" s="580">
        <f t="shared" ref="O154" si="80">O153+N154</f>
        <v>0</v>
      </c>
      <c r="P154" s="580">
        <f t="shared" ref="P154" si="81">P153+O154</f>
        <v>0</v>
      </c>
      <c r="Q154" s="580">
        <f t="shared" ref="Q154" si="82">Q153+P154</f>
        <v>0</v>
      </c>
      <c r="R154" s="580">
        <f t="shared" ref="R154" si="83">R153+Q154</f>
        <v>0</v>
      </c>
      <c r="S154" s="580">
        <f t="shared" ref="S154" si="84">S153+R154</f>
        <v>0</v>
      </c>
      <c r="T154" s="580">
        <f t="shared" ref="T154" si="85">T153+S154</f>
        <v>0</v>
      </c>
      <c r="U154" s="580">
        <f t="shared" ref="U154" si="86">U153+T154</f>
        <v>0</v>
      </c>
      <c r="V154" s="580">
        <f t="shared" ref="V154" si="87">V153+U154</f>
        <v>0</v>
      </c>
      <c r="W154" s="580">
        <f t="shared" ref="W154" si="88">W153+V154</f>
        <v>0</v>
      </c>
      <c r="X154" s="580">
        <f t="shared" ref="X154" si="89">X153+W154</f>
        <v>0</v>
      </c>
      <c r="Y154" s="580">
        <f t="shared" ref="Y154" si="90">Y153+X154</f>
        <v>0</v>
      </c>
      <c r="Z154" s="580">
        <f t="shared" ref="Z154" si="91">Z153+Y154</f>
        <v>0</v>
      </c>
      <c r="AA154" s="580">
        <f t="shared" ref="AA154" si="92">AA153+Z154</f>
        <v>0</v>
      </c>
      <c r="AB154" s="580">
        <f t="shared" ref="AB154" si="93">AB153+AA154</f>
        <v>0</v>
      </c>
      <c r="AC154" s="580">
        <f t="shared" ref="AC154" si="94">AC153+AB154</f>
        <v>0</v>
      </c>
      <c r="AD154" s="580">
        <f t="shared" ref="AD154" si="95">AD153+AC154</f>
        <v>0</v>
      </c>
      <c r="AE154" s="580">
        <f t="shared" ref="AE154" si="96">AE153+AD154</f>
        <v>0</v>
      </c>
      <c r="AF154" s="580">
        <f t="shared" ref="AF154" si="97">AF153+AE154</f>
        <v>0</v>
      </c>
      <c r="AG154" s="580">
        <f t="shared" ref="AG154" si="98">AG153+AF154</f>
        <v>0</v>
      </c>
      <c r="AH154" s="321"/>
    </row>
    <row r="155" spans="2:34" ht="15.6">
      <c r="B155" s="590" t="s">
        <v>708</v>
      </c>
      <c r="C155" s="580"/>
      <c r="D155" s="580"/>
      <c r="E155" s="502">
        <v>0</v>
      </c>
      <c r="F155" s="502">
        <v>0</v>
      </c>
      <c r="G155" s="502">
        <v>0</v>
      </c>
      <c r="H155" s="502">
        <v>0</v>
      </c>
      <c r="I155" s="502">
        <v>0</v>
      </c>
      <c r="J155" s="502">
        <v>0</v>
      </c>
      <c r="K155" s="502">
        <v>0</v>
      </c>
      <c r="L155" s="502">
        <v>0</v>
      </c>
      <c r="M155" s="502">
        <v>0</v>
      </c>
      <c r="N155" s="502">
        <v>0</v>
      </c>
      <c r="O155" s="502">
        <v>0</v>
      </c>
      <c r="P155" s="502">
        <v>0</v>
      </c>
      <c r="Q155" s="502">
        <v>0</v>
      </c>
      <c r="R155" s="502">
        <v>0</v>
      </c>
      <c r="S155" s="502">
        <v>0</v>
      </c>
      <c r="T155" s="502">
        <v>0</v>
      </c>
      <c r="U155" s="502">
        <v>0</v>
      </c>
      <c r="V155" s="502">
        <v>0</v>
      </c>
      <c r="W155" s="502">
        <v>0</v>
      </c>
      <c r="X155" s="502">
        <v>0</v>
      </c>
      <c r="Y155" s="502">
        <v>0</v>
      </c>
      <c r="Z155" s="502">
        <v>0</v>
      </c>
      <c r="AA155" s="502">
        <v>0</v>
      </c>
      <c r="AB155" s="502">
        <v>0</v>
      </c>
      <c r="AC155" s="502">
        <v>0</v>
      </c>
      <c r="AD155" s="502">
        <v>0</v>
      </c>
      <c r="AE155" s="502">
        <v>0</v>
      </c>
      <c r="AF155" s="502">
        <v>0</v>
      </c>
      <c r="AG155" s="502">
        <v>0</v>
      </c>
      <c r="AH155" s="321"/>
    </row>
    <row r="156" spans="2:34" ht="15.6">
      <c r="B156" s="590" t="s">
        <v>709</v>
      </c>
      <c r="C156" s="580"/>
      <c r="D156" s="580"/>
      <c r="E156" s="580">
        <f>SUM(E154+E155)</f>
        <v>0</v>
      </c>
      <c r="F156" s="580">
        <f>SUM(E156+F153+F155)</f>
        <v>0</v>
      </c>
      <c r="G156" s="580">
        <f t="shared" ref="G156" si="99">SUM(F156+G153+G155)</f>
        <v>0</v>
      </c>
      <c r="H156" s="580">
        <f t="shared" ref="H156" si="100">SUM(G156+H153+H155)</f>
        <v>0</v>
      </c>
      <c r="I156" s="580">
        <f t="shared" ref="I156" si="101">SUM(H156+I153+I155)</f>
        <v>0</v>
      </c>
      <c r="J156" s="580">
        <f t="shared" ref="J156" si="102">SUM(I156+J153+J155)</f>
        <v>0</v>
      </c>
      <c r="K156" s="580">
        <f t="shared" ref="K156" si="103">SUM(J156+K153+K155)</f>
        <v>0</v>
      </c>
      <c r="L156" s="580">
        <f t="shared" ref="L156" si="104">SUM(K156+L153+L155)</f>
        <v>0</v>
      </c>
      <c r="M156" s="580">
        <f t="shared" ref="M156" si="105">SUM(L156+M153+M155)</f>
        <v>0</v>
      </c>
      <c r="N156" s="580">
        <f t="shared" ref="N156" si="106">SUM(M156+N153+N155)</f>
        <v>0</v>
      </c>
      <c r="O156" s="580">
        <f t="shared" ref="O156" si="107">SUM(N156+O153+O155)</f>
        <v>0</v>
      </c>
      <c r="P156" s="580">
        <f t="shared" ref="P156" si="108">SUM(O156+P153+P155)</f>
        <v>0</v>
      </c>
      <c r="Q156" s="580">
        <f t="shared" ref="Q156" si="109">SUM(P156+Q153+Q155)</f>
        <v>0</v>
      </c>
      <c r="R156" s="580">
        <f t="shared" ref="R156" si="110">SUM(Q156+R153+R155)</f>
        <v>0</v>
      </c>
      <c r="S156" s="580">
        <f t="shared" ref="S156" si="111">SUM(R156+S153+S155)</f>
        <v>0</v>
      </c>
      <c r="T156" s="580">
        <f t="shared" ref="T156" si="112">SUM(S156+T153+T155)</f>
        <v>0</v>
      </c>
      <c r="U156" s="580">
        <f t="shared" ref="U156" si="113">SUM(T156+U153+U155)</f>
        <v>0</v>
      </c>
      <c r="V156" s="580">
        <f t="shared" ref="V156" si="114">SUM(U156+V153+V155)</f>
        <v>0</v>
      </c>
      <c r="W156" s="580">
        <f t="shared" ref="W156" si="115">SUM(V156+W153+W155)</f>
        <v>0</v>
      </c>
      <c r="X156" s="580">
        <f t="shared" ref="X156" si="116">SUM(W156+X153+X155)</f>
        <v>0</v>
      </c>
      <c r="Y156" s="580">
        <f t="shared" ref="Y156" si="117">SUM(X156+Y153+Y155)</f>
        <v>0</v>
      </c>
      <c r="Z156" s="580">
        <f t="shared" ref="Z156" si="118">SUM(Y156+Z153+Z155)</f>
        <v>0</v>
      </c>
      <c r="AA156" s="580">
        <f t="shared" ref="AA156" si="119">SUM(Z156+AA153+AA155)</f>
        <v>0</v>
      </c>
      <c r="AB156" s="580">
        <f t="shared" ref="AB156" si="120">SUM(AA156+AB153+AB155)</f>
        <v>0</v>
      </c>
      <c r="AC156" s="580">
        <f t="shared" ref="AC156" si="121">SUM(AB156+AC153+AC155)</f>
        <v>0</v>
      </c>
      <c r="AD156" s="580">
        <f t="shared" ref="AD156" si="122">SUM(AC156+AD153+AD155)</f>
        <v>0</v>
      </c>
      <c r="AE156" s="580">
        <f t="shared" ref="AE156" si="123">SUM(AD156+AE153+AE155)</f>
        <v>0</v>
      </c>
      <c r="AF156" s="580">
        <f t="shared" ref="AF156" si="124">SUM(AE156+AF153+AF155)</f>
        <v>0</v>
      </c>
      <c r="AG156" s="580">
        <f t="shared" ref="AG156" si="125">SUM(AF156+AG153+AG155)</f>
        <v>0</v>
      </c>
      <c r="AH156" s="321"/>
    </row>
    <row r="157" spans="2:34" ht="15.6">
      <c r="B157" s="590" t="s">
        <v>710</v>
      </c>
      <c r="C157" s="785">
        <f>assumptions!D70</f>
        <v>0</v>
      </c>
      <c r="D157" s="580"/>
      <c r="E157" s="580">
        <v>0</v>
      </c>
      <c r="F157" s="580">
        <f>E156*($C$157/12)</f>
        <v>0</v>
      </c>
      <c r="G157" s="580">
        <f>F156*($C$157/12)</f>
        <v>0</v>
      </c>
      <c r="H157" s="580">
        <f t="shared" ref="H157:AG157" si="126">G156*($C$157/12)</f>
        <v>0</v>
      </c>
      <c r="I157" s="580">
        <f t="shared" si="126"/>
        <v>0</v>
      </c>
      <c r="J157" s="580">
        <f t="shared" si="126"/>
        <v>0</v>
      </c>
      <c r="K157" s="580">
        <f t="shared" si="126"/>
        <v>0</v>
      </c>
      <c r="L157" s="580">
        <f t="shared" si="126"/>
        <v>0</v>
      </c>
      <c r="M157" s="580">
        <f t="shared" si="126"/>
        <v>0</v>
      </c>
      <c r="N157" s="580">
        <f t="shared" si="126"/>
        <v>0</v>
      </c>
      <c r="O157" s="580">
        <f t="shared" si="126"/>
        <v>0</v>
      </c>
      <c r="P157" s="580">
        <f t="shared" si="126"/>
        <v>0</v>
      </c>
      <c r="Q157" s="580">
        <f t="shared" si="126"/>
        <v>0</v>
      </c>
      <c r="R157" s="580">
        <f t="shared" si="126"/>
        <v>0</v>
      </c>
      <c r="S157" s="580">
        <f t="shared" si="126"/>
        <v>0</v>
      </c>
      <c r="T157" s="580">
        <f t="shared" si="126"/>
        <v>0</v>
      </c>
      <c r="U157" s="580">
        <f t="shared" si="126"/>
        <v>0</v>
      </c>
      <c r="V157" s="580">
        <f t="shared" si="126"/>
        <v>0</v>
      </c>
      <c r="W157" s="580">
        <f t="shared" si="126"/>
        <v>0</v>
      </c>
      <c r="X157" s="580">
        <f t="shared" si="126"/>
        <v>0</v>
      </c>
      <c r="Y157" s="580">
        <f t="shared" si="126"/>
        <v>0</v>
      </c>
      <c r="Z157" s="580">
        <f t="shared" si="126"/>
        <v>0</v>
      </c>
      <c r="AA157" s="580">
        <f t="shared" si="126"/>
        <v>0</v>
      </c>
      <c r="AB157" s="580">
        <f t="shared" si="126"/>
        <v>0</v>
      </c>
      <c r="AC157" s="580">
        <f t="shared" si="126"/>
        <v>0</v>
      </c>
      <c r="AD157" s="580">
        <f t="shared" si="126"/>
        <v>0</v>
      </c>
      <c r="AE157" s="580">
        <f t="shared" si="126"/>
        <v>0</v>
      </c>
      <c r="AF157" s="580">
        <f t="shared" si="126"/>
        <v>0</v>
      </c>
      <c r="AG157" s="580">
        <f t="shared" si="126"/>
        <v>0</v>
      </c>
      <c r="AH157" s="321"/>
    </row>
    <row r="158" spans="2:34" ht="15.6">
      <c r="B158" s="590"/>
      <c r="C158" s="787"/>
      <c r="D158" s="580"/>
      <c r="E158" s="580"/>
      <c r="F158" s="580"/>
      <c r="G158" s="580"/>
      <c r="H158" s="580"/>
      <c r="I158" s="580"/>
      <c r="J158" s="580"/>
      <c r="K158" s="580"/>
      <c r="L158" s="580"/>
      <c r="M158" s="580"/>
      <c r="N158" s="580"/>
      <c r="O158" s="580"/>
      <c r="P158" s="788"/>
      <c r="Q158" s="580"/>
      <c r="R158" s="580"/>
      <c r="S158" s="580"/>
      <c r="T158" s="580"/>
      <c r="U158" s="580"/>
      <c r="V158" s="580"/>
      <c r="W158" s="580"/>
      <c r="X158" s="580"/>
      <c r="Y158" s="580"/>
      <c r="Z158" s="580"/>
      <c r="AA158" s="580"/>
      <c r="AB158" s="580"/>
      <c r="AH158" s="321"/>
    </row>
    <row r="159" spans="2:34">
      <c r="B159" s="750" t="str">
        <f>assumptions!A71</f>
        <v>VHFA Equity Bridge Loan</v>
      </c>
      <c r="C159" s="584" t="s">
        <v>705</v>
      </c>
      <c r="D159" s="135">
        <f>assumptions!B71</f>
        <v>0</v>
      </c>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H159" s="321"/>
    </row>
    <row r="160" spans="2:34" ht="15.6">
      <c r="B160" s="590" t="s">
        <v>706</v>
      </c>
      <c r="C160" s="580"/>
      <c r="D160" s="580"/>
      <c r="E160" s="502">
        <v>0</v>
      </c>
      <c r="F160" s="502">
        <v>0</v>
      </c>
      <c r="G160" s="502">
        <v>0</v>
      </c>
      <c r="H160" s="502">
        <v>0</v>
      </c>
      <c r="I160" s="502">
        <v>0</v>
      </c>
      <c r="J160" s="502">
        <v>0</v>
      </c>
      <c r="K160" s="502">
        <v>0</v>
      </c>
      <c r="L160" s="502">
        <v>0</v>
      </c>
      <c r="M160" s="502">
        <v>0</v>
      </c>
      <c r="N160" s="502">
        <v>0</v>
      </c>
      <c r="O160" s="502">
        <v>0</v>
      </c>
      <c r="P160" s="502">
        <v>0</v>
      </c>
      <c r="Q160" s="502">
        <v>0</v>
      </c>
      <c r="R160" s="502">
        <v>0</v>
      </c>
      <c r="S160" s="502">
        <v>0</v>
      </c>
      <c r="T160" s="502">
        <v>0</v>
      </c>
      <c r="U160" s="502">
        <v>0</v>
      </c>
      <c r="V160" s="502">
        <v>0</v>
      </c>
      <c r="W160" s="502">
        <v>0</v>
      </c>
      <c r="X160" s="502">
        <v>0</v>
      </c>
      <c r="Y160" s="502">
        <v>0</v>
      </c>
      <c r="Z160" s="502">
        <v>0</v>
      </c>
      <c r="AA160" s="502">
        <v>0</v>
      </c>
      <c r="AB160" s="502">
        <v>0</v>
      </c>
      <c r="AC160" s="502">
        <v>0</v>
      </c>
      <c r="AD160" s="502">
        <v>0</v>
      </c>
      <c r="AE160" s="502">
        <v>0</v>
      </c>
      <c r="AF160" s="502">
        <v>0</v>
      </c>
      <c r="AG160" s="502">
        <v>0</v>
      </c>
      <c r="AH160" s="321"/>
    </row>
    <row r="161" spans="2:34" ht="15.6">
      <c r="B161" s="590" t="s">
        <v>707</v>
      </c>
      <c r="C161" s="580"/>
      <c r="D161" s="580"/>
      <c r="E161" s="580">
        <f>E160+D161</f>
        <v>0</v>
      </c>
      <c r="F161" s="580">
        <f>F160+E161</f>
        <v>0</v>
      </c>
      <c r="G161" s="580">
        <f>G160+F161</f>
        <v>0</v>
      </c>
      <c r="H161" s="580">
        <f t="shared" ref="H161" si="127">H160+G161</f>
        <v>0</v>
      </c>
      <c r="I161" s="580">
        <f t="shared" ref="I161" si="128">I160+H161</f>
        <v>0</v>
      </c>
      <c r="J161" s="580">
        <f t="shared" ref="J161" si="129">J160+I161</f>
        <v>0</v>
      </c>
      <c r="K161" s="580">
        <f t="shared" ref="K161" si="130">K160+J161</f>
        <v>0</v>
      </c>
      <c r="L161" s="580">
        <f t="shared" ref="L161" si="131">L160+K161</f>
        <v>0</v>
      </c>
      <c r="M161" s="580">
        <f t="shared" ref="M161" si="132">M160+L161</f>
        <v>0</v>
      </c>
      <c r="N161" s="580">
        <f t="shared" ref="N161" si="133">N160+M161</f>
        <v>0</v>
      </c>
      <c r="O161" s="580">
        <f t="shared" ref="O161" si="134">O160+N161</f>
        <v>0</v>
      </c>
      <c r="P161" s="580">
        <f t="shared" ref="P161" si="135">P160+O161</f>
        <v>0</v>
      </c>
      <c r="Q161" s="580">
        <f t="shared" ref="Q161" si="136">Q160+P161</f>
        <v>0</v>
      </c>
      <c r="R161" s="580">
        <f t="shared" ref="R161" si="137">R160+Q161</f>
        <v>0</v>
      </c>
      <c r="S161" s="580">
        <f t="shared" ref="S161" si="138">S160+R161</f>
        <v>0</v>
      </c>
      <c r="T161" s="580">
        <f t="shared" ref="T161" si="139">T160+S161</f>
        <v>0</v>
      </c>
      <c r="U161" s="580">
        <f t="shared" ref="U161" si="140">U160+T161</f>
        <v>0</v>
      </c>
      <c r="V161" s="580">
        <f t="shared" ref="V161" si="141">V160+U161</f>
        <v>0</v>
      </c>
      <c r="W161" s="580">
        <f t="shared" ref="W161" si="142">W160+V161</f>
        <v>0</v>
      </c>
      <c r="X161" s="580">
        <f t="shared" ref="X161" si="143">X160+W161</f>
        <v>0</v>
      </c>
      <c r="Y161" s="580">
        <f t="shared" ref="Y161" si="144">Y160+X161</f>
        <v>0</v>
      </c>
      <c r="Z161" s="580">
        <f t="shared" ref="Z161" si="145">Z160+Y161</f>
        <v>0</v>
      </c>
      <c r="AA161" s="580">
        <f t="shared" ref="AA161" si="146">AA160+Z161</f>
        <v>0</v>
      </c>
      <c r="AB161" s="580">
        <f t="shared" ref="AB161" si="147">AB160+AA161</f>
        <v>0</v>
      </c>
      <c r="AC161" s="580">
        <f t="shared" ref="AC161" si="148">AC160+AB161</f>
        <v>0</v>
      </c>
      <c r="AD161" s="580">
        <f t="shared" ref="AD161" si="149">AD160+AC161</f>
        <v>0</v>
      </c>
      <c r="AE161" s="580">
        <f t="shared" ref="AE161" si="150">AE160+AD161</f>
        <v>0</v>
      </c>
      <c r="AF161" s="580">
        <f t="shared" ref="AF161" si="151">AF160+AE161</f>
        <v>0</v>
      </c>
      <c r="AG161" s="580">
        <f t="shared" ref="AG161" si="152">AG160+AF161</f>
        <v>0</v>
      </c>
      <c r="AH161" s="321"/>
    </row>
    <row r="162" spans="2:34" ht="15.6">
      <c r="B162" s="590" t="s">
        <v>708</v>
      </c>
      <c r="C162" s="580"/>
      <c r="D162" s="580"/>
      <c r="E162" s="502">
        <v>0</v>
      </c>
      <c r="F162" s="502">
        <v>0</v>
      </c>
      <c r="G162" s="502">
        <v>0</v>
      </c>
      <c r="H162" s="502">
        <v>0</v>
      </c>
      <c r="I162" s="502">
        <v>0</v>
      </c>
      <c r="J162" s="502">
        <v>0</v>
      </c>
      <c r="K162" s="502">
        <v>0</v>
      </c>
      <c r="L162" s="502">
        <v>0</v>
      </c>
      <c r="M162" s="502">
        <v>0</v>
      </c>
      <c r="N162" s="502">
        <v>0</v>
      </c>
      <c r="O162" s="502">
        <v>0</v>
      </c>
      <c r="P162" s="502">
        <v>0</v>
      </c>
      <c r="Q162" s="502">
        <v>0</v>
      </c>
      <c r="R162" s="502">
        <v>0</v>
      </c>
      <c r="S162" s="502">
        <v>0</v>
      </c>
      <c r="T162" s="502">
        <v>0</v>
      </c>
      <c r="U162" s="502">
        <v>0</v>
      </c>
      <c r="V162" s="502">
        <v>0</v>
      </c>
      <c r="W162" s="502">
        <v>0</v>
      </c>
      <c r="X162" s="502">
        <v>0</v>
      </c>
      <c r="Y162" s="502">
        <v>0</v>
      </c>
      <c r="Z162" s="502">
        <v>0</v>
      </c>
      <c r="AA162" s="502">
        <v>0</v>
      </c>
      <c r="AB162" s="502">
        <v>0</v>
      </c>
      <c r="AC162" s="502">
        <v>0</v>
      </c>
      <c r="AD162" s="502">
        <v>0</v>
      </c>
      <c r="AE162" s="502">
        <v>0</v>
      </c>
      <c r="AF162" s="502">
        <v>0</v>
      </c>
      <c r="AG162" s="502">
        <v>0</v>
      </c>
      <c r="AH162" s="321"/>
    </row>
    <row r="163" spans="2:34" ht="15.6">
      <c r="B163" s="590" t="s">
        <v>709</v>
      </c>
      <c r="C163" s="580"/>
      <c r="D163" s="580"/>
      <c r="E163" s="580">
        <f>SUM(E161+E162)</f>
        <v>0</v>
      </c>
      <c r="F163" s="580">
        <f>SUM(E163+F160+F162)</f>
        <v>0</v>
      </c>
      <c r="G163" s="580">
        <f t="shared" ref="G163" si="153">SUM(F163+G160+G162)</f>
        <v>0</v>
      </c>
      <c r="H163" s="580">
        <f t="shared" ref="H163" si="154">SUM(G163+H160+H162)</f>
        <v>0</v>
      </c>
      <c r="I163" s="580">
        <f t="shared" ref="I163" si="155">SUM(H163+I160+I162)</f>
        <v>0</v>
      </c>
      <c r="J163" s="580">
        <f t="shared" ref="J163" si="156">SUM(I163+J160+J162)</f>
        <v>0</v>
      </c>
      <c r="K163" s="580">
        <f t="shared" ref="K163" si="157">SUM(J163+K160+K162)</f>
        <v>0</v>
      </c>
      <c r="L163" s="580">
        <f t="shared" ref="L163" si="158">SUM(K163+L160+L162)</f>
        <v>0</v>
      </c>
      <c r="M163" s="580">
        <f t="shared" ref="M163" si="159">SUM(L163+M160+M162)</f>
        <v>0</v>
      </c>
      <c r="N163" s="580">
        <f t="shared" ref="N163" si="160">SUM(M163+N160+N162)</f>
        <v>0</v>
      </c>
      <c r="O163" s="580">
        <f t="shared" ref="O163" si="161">SUM(N163+O160+O162)</f>
        <v>0</v>
      </c>
      <c r="P163" s="580">
        <f t="shared" ref="P163" si="162">SUM(O163+P160+P162)</f>
        <v>0</v>
      </c>
      <c r="Q163" s="580">
        <f t="shared" ref="Q163" si="163">SUM(P163+Q160+Q162)</f>
        <v>0</v>
      </c>
      <c r="R163" s="580">
        <f t="shared" ref="R163" si="164">SUM(Q163+R160+R162)</f>
        <v>0</v>
      </c>
      <c r="S163" s="580">
        <f t="shared" ref="S163" si="165">SUM(R163+S160+S162)</f>
        <v>0</v>
      </c>
      <c r="T163" s="580">
        <f t="shared" ref="T163" si="166">SUM(S163+T160+T162)</f>
        <v>0</v>
      </c>
      <c r="U163" s="580">
        <f t="shared" ref="U163" si="167">SUM(T163+U160+U162)</f>
        <v>0</v>
      </c>
      <c r="V163" s="580">
        <f t="shared" ref="V163" si="168">SUM(U163+V160+V162)</f>
        <v>0</v>
      </c>
      <c r="W163" s="580">
        <f t="shared" ref="W163" si="169">SUM(V163+W160+W162)</f>
        <v>0</v>
      </c>
      <c r="X163" s="580">
        <f t="shared" ref="X163" si="170">SUM(W163+X160+X162)</f>
        <v>0</v>
      </c>
      <c r="Y163" s="580">
        <f t="shared" ref="Y163" si="171">SUM(X163+Y160+Y162)</f>
        <v>0</v>
      </c>
      <c r="Z163" s="580">
        <f t="shared" ref="Z163" si="172">SUM(Y163+Z160+Z162)</f>
        <v>0</v>
      </c>
      <c r="AA163" s="580">
        <f t="shared" ref="AA163" si="173">SUM(Z163+AA160+AA162)</f>
        <v>0</v>
      </c>
      <c r="AB163" s="580">
        <f t="shared" ref="AB163" si="174">SUM(AA163+AB160+AB162)</f>
        <v>0</v>
      </c>
      <c r="AC163" s="580">
        <f t="shared" ref="AC163" si="175">SUM(AB163+AC160+AC162)</f>
        <v>0</v>
      </c>
      <c r="AD163" s="580">
        <f t="shared" ref="AD163" si="176">SUM(AC163+AD160+AD162)</f>
        <v>0</v>
      </c>
      <c r="AE163" s="580">
        <f t="shared" ref="AE163" si="177">SUM(AD163+AE160+AE162)</f>
        <v>0</v>
      </c>
      <c r="AF163" s="580">
        <f t="shared" ref="AF163" si="178">SUM(AE163+AF160+AF162)</f>
        <v>0</v>
      </c>
      <c r="AG163" s="580">
        <f t="shared" ref="AG163" si="179">SUM(AF163+AG160+AG162)</f>
        <v>0</v>
      </c>
      <c r="AH163" s="321"/>
    </row>
    <row r="164" spans="2:34" ht="15.6">
      <c r="B164" s="590" t="s">
        <v>710</v>
      </c>
      <c r="C164" s="34">
        <f>assumptions!D71</f>
        <v>0</v>
      </c>
      <c r="D164" s="135"/>
      <c r="E164" s="580">
        <v>0</v>
      </c>
      <c r="F164" s="580">
        <f>E163*($C$164/12)</f>
        <v>0</v>
      </c>
      <c r="G164" s="580">
        <f>F163*($C$164/12)</f>
        <v>0</v>
      </c>
      <c r="H164" s="580">
        <f t="shared" ref="H164:AG164" si="180">G163*($C$164/12)</f>
        <v>0</v>
      </c>
      <c r="I164" s="580">
        <f t="shared" si="180"/>
        <v>0</v>
      </c>
      <c r="J164" s="580">
        <f t="shared" si="180"/>
        <v>0</v>
      </c>
      <c r="K164" s="580">
        <f t="shared" si="180"/>
        <v>0</v>
      </c>
      <c r="L164" s="580">
        <f t="shared" si="180"/>
        <v>0</v>
      </c>
      <c r="M164" s="580">
        <f t="shared" si="180"/>
        <v>0</v>
      </c>
      <c r="N164" s="580">
        <f t="shared" si="180"/>
        <v>0</v>
      </c>
      <c r="O164" s="580">
        <f t="shared" si="180"/>
        <v>0</v>
      </c>
      <c r="P164" s="580">
        <f t="shared" si="180"/>
        <v>0</v>
      </c>
      <c r="Q164" s="580">
        <f t="shared" si="180"/>
        <v>0</v>
      </c>
      <c r="R164" s="580">
        <f t="shared" si="180"/>
        <v>0</v>
      </c>
      <c r="S164" s="580">
        <f t="shared" si="180"/>
        <v>0</v>
      </c>
      <c r="T164" s="580">
        <f t="shared" si="180"/>
        <v>0</v>
      </c>
      <c r="U164" s="580">
        <f t="shared" si="180"/>
        <v>0</v>
      </c>
      <c r="V164" s="580">
        <f t="shared" si="180"/>
        <v>0</v>
      </c>
      <c r="W164" s="580">
        <f t="shared" si="180"/>
        <v>0</v>
      </c>
      <c r="X164" s="580">
        <f t="shared" si="180"/>
        <v>0</v>
      </c>
      <c r="Y164" s="580">
        <f t="shared" si="180"/>
        <v>0</v>
      </c>
      <c r="Z164" s="580">
        <f t="shared" si="180"/>
        <v>0</v>
      </c>
      <c r="AA164" s="580">
        <f t="shared" si="180"/>
        <v>0</v>
      </c>
      <c r="AB164" s="580">
        <f t="shared" si="180"/>
        <v>0</v>
      </c>
      <c r="AC164" s="580">
        <f t="shared" si="180"/>
        <v>0</v>
      </c>
      <c r="AD164" s="580">
        <f t="shared" si="180"/>
        <v>0</v>
      </c>
      <c r="AE164" s="580">
        <f t="shared" si="180"/>
        <v>0</v>
      </c>
      <c r="AF164" s="580">
        <f t="shared" si="180"/>
        <v>0</v>
      </c>
      <c r="AG164" s="580">
        <f t="shared" si="180"/>
        <v>0</v>
      </c>
      <c r="AH164" s="321"/>
    </row>
    <row r="165" spans="2:34">
      <c r="D165" s="321"/>
      <c r="E165" s="321"/>
      <c r="F165" s="321"/>
      <c r="G165" s="321"/>
      <c r="H165" s="321"/>
      <c r="I165" s="321"/>
      <c r="J165" s="321"/>
      <c r="K165" s="321"/>
      <c r="L165" s="321"/>
      <c r="M165" s="321"/>
      <c r="N165" s="321"/>
      <c r="O165" s="321"/>
      <c r="P165" s="321"/>
      <c r="Q165" s="321"/>
      <c r="R165" s="321"/>
      <c r="S165" s="321"/>
      <c r="T165" s="321"/>
      <c r="U165" s="321"/>
      <c r="V165" s="321"/>
      <c r="W165" s="321"/>
      <c r="X165" s="321"/>
      <c r="Y165" s="321"/>
      <c r="Z165" s="321"/>
      <c r="AA165" s="321"/>
      <c r="AB165" s="321"/>
      <c r="AC165" s="321"/>
      <c r="AD165" s="321"/>
      <c r="AE165" s="321"/>
      <c r="AF165" s="321"/>
      <c r="AG165" s="321"/>
      <c r="AH165" s="321"/>
    </row>
    <row r="166" spans="2:34">
      <c r="B166" s="584" t="s">
        <v>713</v>
      </c>
      <c r="D166" s="140"/>
      <c r="E166" s="140">
        <f>SUM(E136+E145+E153)</f>
        <v>0</v>
      </c>
      <c r="F166" s="140">
        <f t="shared" ref="F166:AG166" si="181">SUM(F136+F145+F153)</f>
        <v>0</v>
      </c>
      <c r="G166" s="140">
        <f t="shared" si="181"/>
        <v>0</v>
      </c>
      <c r="H166" s="140">
        <f t="shared" si="181"/>
        <v>0</v>
      </c>
      <c r="I166" s="140">
        <f t="shared" si="181"/>
        <v>0</v>
      </c>
      <c r="J166" s="140">
        <f t="shared" si="181"/>
        <v>0</v>
      </c>
      <c r="K166" s="140">
        <f t="shared" si="181"/>
        <v>0</v>
      </c>
      <c r="L166" s="140">
        <f t="shared" si="181"/>
        <v>0</v>
      </c>
      <c r="M166" s="140">
        <f t="shared" si="181"/>
        <v>0</v>
      </c>
      <c r="N166" s="140">
        <f t="shared" si="181"/>
        <v>0</v>
      </c>
      <c r="O166" s="140">
        <f t="shared" si="181"/>
        <v>0</v>
      </c>
      <c r="P166" s="140">
        <f t="shared" si="181"/>
        <v>0</v>
      </c>
      <c r="Q166" s="140">
        <f t="shared" si="181"/>
        <v>0</v>
      </c>
      <c r="R166" s="140">
        <f t="shared" si="181"/>
        <v>0</v>
      </c>
      <c r="S166" s="140">
        <f t="shared" si="181"/>
        <v>0</v>
      </c>
      <c r="T166" s="140">
        <f t="shared" si="181"/>
        <v>0</v>
      </c>
      <c r="U166" s="140">
        <f t="shared" si="181"/>
        <v>0</v>
      </c>
      <c r="V166" s="140">
        <f t="shared" si="181"/>
        <v>0</v>
      </c>
      <c r="W166" s="140">
        <f t="shared" si="181"/>
        <v>0</v>
      </c>
      <c r="X166" s="140">
        <f t="shared" si="181"/>
        <v>0</v>
      </c>
      <c r="Y166" s="140">
        <f t="shared" si="181"/>
        <v>0</v>
      </c>
      <c r="Z166" s="140">
        <f t="shared" si="181"/>
        <v>0</v>
      </c>
      <c r="AA166" s="140">
        <f t="shared" si="181"/>
        <v>0</v>
      </c>
      <c r="AB166" s="140">
        <f t="shared" si="181"/>
        <v>0</v>
      </c>
      <c r="AC166" s="140">
        <f t="shared" si="181"/>
        <v>0</v>
      </c>
      <c r="AD166" s="140">
        <f t="shared" si="181"/>
        <v>0</v>
      </c>
      <c r="AE166" s="140">
        <f t="shared" si="181"/>
        <v>0</v>
      </c>
      <c r="AF166" s="140">
        <f t="shared" si="181"/>
        <v>0</v>
      </c>
      <c r="AG166" s="140">
        <f t="shared" si="181"/>
        <v>0</v>
      </c>
      <c r="AH166" s="140"/>
    </row>
    <row r="167" spans="2:34">
      <c r="B167" s="584" t="s">
        <v>714</v>
      </c>
      <c r="E167" s="584">
        <f>SUM(E131-E166)</f>
        <v>0</v>
      </c>
      <c r="F167" s="584">
        <f t="shared" ref="F167:AG167" si="182">SUM(F131-F166)</f>
        <v>0</v>
      </c>
      <c r="G167" s="584">
        <f t="shared" si="182"/>
        <v>0</v>
      </c>
      <c r="H167" s="584">
        <f t="shared" si="182"/>
        <v>0</v>
      </c>
      <c r="I167" s="584">
        <f t="shared" si="182"/>
        <v>0</v>
      </c>
      <c r="J167" s="584">
        <f t="shared" si="182"/>
        <v>0</v>
      </c>
      <c r="K167" s="584">
        <f t="shared" si="182"/>
        <v>0</v>
      </c>
      <c r="L167" s="584">
        <f t="shared" si="182"/>
        <v>0</v>
      </c>
      <c r="M167" s="584">
        <f t="shared" si="182"/>
        <v>0</v>
      </c>
      <c r="N167" s="584">
        <f t="shared" si="182"/>
        <v>0</v>
      </c>
      <c r="O167" s="584">
        <f t="shared" si="182"/>
        <v>0</v>
      </c>
      <c r="P167" s="584">
        <f t="shared" si="182"/>
        <v>0</v>
      </c>
      <c r="Q167" s="584">
        <f t="shared" si="182"/>
        <v>0</v>
      </c>
      <c r="R167" s="584">
        <f t="shared" si="182"/>
        <v>0</v>
      </c>
      <c r="S167" s="584">
        <f t="shared" si="182"/>
        <v>0</v>
      </c>
      <c r="T167" s="584">
        <f t="shared" si="182"/>
        <v>0</v>
      </c>
      <c r="U167" s="584">
        <f t="shared" si="182"/>
        <v>0</v>
      </c>
      <c r="V167" s="584">
        <f t="shared" si="182"/>
        <v>0</v>
      </c>
      <c r="W167" s="584">
        <f t="shared" si="182"/>
        <v>0</v>
      </c>
      <c r="X167" s="584">
        <f t="shared" si="182"/>
        <v>0</v>
      </c>
      <c r="Y167" s="584">
        <f t="shared" si="182"/>
        <v>0</v>
      </c>
      <c r="Z167" s="584">
        <f t="shared" si="182"/>
        <v>0</v>
      </c>
      <c r="AA167" s="584">
        <f t="shared" si="182"/>
        <v>0</v>
      </c>
      <c r="AB167" s="584">
        <f t="shared" si="182"/>
        <v>0</v>
      </c>
      <c r="AC167" s="584">
        <f t="shared" si="182"/>
        <v>0</v>
      </c>
      <c r="AD167" s="584">
        <f t="shared" si="182"/>
        <v>0</v>
      </c>
      <c r="AE167" s="584">
        <f t="shared" si="182"/>
        <v>0</v>
      </c>
      <c r="AF167" s="584">
        <f t="shared" si="182"/>
        <v>0</v>
      </c>
      <c r="AG167" s="584">
        <f t="shared" si="182"/>
        <v>0</v>
      </c>
    </row>
    <row r="168" spans="2:34" ht="13.2" customHeight="1"/>
    <row r="172" spans="2:34" ht="15">
      <c r="B172" s="629"/>
    </row>
    <row r="173" spans="2:34" ht="15">
      <c r="B173" s="629"/>
    </row>
    <row r="174" spans="2:34" ht="15">
      <c r="B174" s="629"/>
    </row>
    <row r="175" spans="2:34" ht="15">
      <c r="B175" s="629"/>
    </row>
  </sheetData>
  <sheetProtection algorithmName="SHA-512" hashValue="Kqmi/Zzc3CWHvGALLtEfubEPMfdil51eiL1YDzD6xNFvHqPEuEyYQh+UEbhwGSsafas5P6FDBX+Gu8dxaoZc+A==" saltValue="KhYTGxfZXq0PVQg8fBezbw==" spinCount="100000" sheet="1" formatCells="0" formatColumns="0" formatRows="0" insertColumns="0"/>
  <phoneticPr fontId="0" type="noConversion"/>
  <pageMargins left="0.75" right="0.75" top="1" bottom="1" header="0.5" footer="0.5"/>
  <pageSetup scale="32" orientation="portrait" r:id="rId1"/>
  <headerFooter alignWithMargins="0">
    <oddFooter>&amp;L&amp;F
&amp;D&amp;T&amp;R&amp;"Times New Roman,Regular"&amp;8revision date:  8/6/2007</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Title="Equity Bridge Loan" prompt="Select VHFA Equity Bridge Loan, Non-VHFA Equity Bridge Loan, or None" xr:uid="{99D3C2AA-1218-43E1-A834-9B81DDF9A501}">
          <x14:formula1>
            <xm:f>'VHFA Use'!$C$65:$C$67</xm:f>
          </x14:formula1>
          <xm:sqref>B175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5D906-7ACA-40D3-B846-035F352FA487}">
  <sheetPr>
    <pageSetUpPr fitToPage="1"/>
  </sheetPr>
  <dimension ref="A2:J46"/>
  <sheetViews>
    <sheetView zoomScale="110" zoomScaleNormal="110" workbookViewId="0"/>
  </sheetViews>
  <sheetFormatPr defaultColWidth="8.75" defaultRowHeight="13.8"/>
  <cols>
    <col min="1" max="1" width="2.75" style="4" customWidth="1"/>
    <col min="2" max="2" width="21" style="4" customWidth="1"/>
    <col min="3" max="3" width="27.75" style="4" customWidth="1"/>
    <col min="4" max="4" width="17.75" style="4" customWidth="1"/>
    <col min="5" max="5" width="18.75" style="4" customWidth="1"/>
    <col min="6" max="6" width="18" style="4" customWidth="1"/>
    <col min="7" max="8" width="8.75" style="4"/>
    <col min="9" max="9" width="9.75" style="4" customWidth="1"/>
    <col min="10" max="16384" width="8.75" style="4"/>
  </cols>
  <sheetData>
    <row r="2" spans="1:10">
      <c r="B2" s="519" t="s">
        <v>715</v>
      </c>
      <c r="C2" s="519"/>
      <c r="D2" s="519"/>
      <c r="E2" s="519"/>
      <c r="F2" s="519"/>
      <c r="G2" s="519"/>
      <c r="H2" s="519"/>
      <c r="I2" s="519"/>
    </row>
    <row r="3" spans="1:10" ht="14.4">
      <c r="A3" s="78"/>
      <c r="B3" s="89" t="s">
        <v>716</v>
      </c>
      <c r="C3" s="31"/>
      <c r="D3" s="31"/>
      <c r="E3" s="31"/>
      <c r="F3" s="31"/>
      <c r="G3" s="31"/>
      <c r="H3" s="31"/>
    </row>
    <row r="4" spans="1:10" ht="14.4">
      <c r="A4" s="78"/>
      <c r="B4" s="89"/>
      <c r="C4" s="31"/>
      <c r="D4" s="31"/>
      <c r="E4" s="31"/>
      <c r="F4" s="31"/>
      <c r="G4" s="31"/>
      <c r="H4" s="31"/>
    </row>
    <row r="5" spans="1:10" ht="14.4">
      <c r="A5" s="78"/>
      <c r="B5" s="83" t="s">
        <v>717</v>
      </c>
      <c r="C5" s="84"/>
      <c r="D5" s="84"/>
      <c r="E5" s="84"/>
      <c r="F5" s="84"/>
      <c r="G5" s="84"/>
      <c r="H5" s="84"/>
      <c r="I5" s="35"/>
    </row>
    <row r="6" spans="1:10">
      <c r="A6" s="78"/>
      <c r="B6" s="78"/>
      <c r="C6" s="1" t="str">
        <f>assumptions!A1</f>
        <v>Project Name:</v>
      </c>
      <c r="D6" s="1" t="str">
        <f>assumptions!B1</f>
        <v>enter project name</v>
      </c>
      <c r="I6" s="33"/>
    </row>
    <row r="7" spans="1:10">
      <c r="A7" s="78"/>
      <c r="B7" s="78"/>
      <c r="C7" s="4" t="s">
        <v>718</v>
      </c>
      <c r="D7" s="1">
        <f>assumptions!$B$4</f>
        <v>0</v>
      </c>
      <c r="I7" s="33"/>
    </row>
    <row r="8" spans="1:10">
      <c r="A8" s="78"/>
      <c r="B8" s="78"/>
      <c r="C8" s="4" t="s">
        <v>719</v>
      </c>
      <c r="D8" s="1">
        <f>assumptions!B7</f>
        <v>0</v>
      </c>
      <c r="I8" s="33"/>
    </row>
    <row r="9" spans="1:10">
      <c r="A9" s="78"/>
      <c r="B9" s="78"/>
      <c r="I9" s="33"/>
    </row>
    <row r="10" spans="1:10" ht="27.6">
      <c r="A10" s="78"/>
      <c r="B10" s="78"/>
      <c r="C10" s="12" t="s">
        <v>720</v>
      </c>
      <c r="D10" s="4" t="s">
        <v>721</v>
      </c>
      <c r="E10" s="12" t="s">
        <v>722</v>
      </c>
      <c r="F10" s="12" t="s">
        <v>723</v>
      </c>
      <c r="G10" s="12" t="s">
        <v>724</v>
      </c>
      <c r="H10" s="12" t="s">
        <v>725</v>
      </c>
      <c r="I10" s="79" t="s">
        <v>726</v>
      </c>
      <c r="J10" s="12"/>
    </row>
    <row r="11" spans="1:10">
      <c r="A11" s="78"/>
      <c r="B11" s="78"/>
      <c r="D11" s="4" t="s">
        <v>727</v>
      </c>
      <c r="E11" s="71"/>
      <c r="F11" s="71"/>
      <c r="G11" s="71"/>
      <c r="H11" s="71"/>
      <c r="I11" s="85"/>
    </row>
    <row r="12" spans="1:10">
      <c r="A12" s="78"/>
      <c r="B12" s="78"/>
      <c r="D12" s="4" t="s">
        <v>728</v>
      </c>
      <c r="E12" s="71"/>
      <c r="F12" s="71"/>
      <c r="G12" s="71"/>
      <c r="H12" s="71"/>
      <c r="I12" s="85"/>
    </row>
    <row r="13" spans="1:10">
      <c r="A13" s="78"/>
      <c r="B13" s="78"/>
      <c r="D13" s="4" t="s">
        <v>729</v>
      </c>
      <c r="E13" s="71"/>
      <c r="F13" s="71"/>
      <c r="G13" s="71"/>
      <c r="H13" s="71"/>
      <c r="I13" s="85"/>
    </row>
    <row r="14" spans="1:10">
      <c r="A14" s="78"/>
      <c r="B14" s="78"/>
      <c r="D14" s="4" t="s">
        <v>730</v>
      </c>
      <c r="E14" s="71"/>
      <c r="F14" s="71"/>
      <c r="G14" s="71"/>
      <c r="H14" s="71"/>
      <c r="I14" s="85"/>
    </row>
    <row r="15" spans="1:10">
      <c r="A15" s="78"/>
      <c r="B15" s="78"/>
      <c r="D15" s="4" t="s">
        <v>731</v>
      </c>
      <c r="E15" s="71"/>
      <c r="F15" s="71"/>
      <c r="G15" s="71"/>
      <c r="H15" s="71"/>
      <c r="I15" s="85"/>
    </row>
    <row r="16" spans="1:10">
      <c r="A16" s="78"/>
      <c r="B16" s="78"/>
      <c r="D16" s="4" t="s">
        <v>732</v>
      </c>
      <c r="E16" s="71"/>
      <c r="F16" s="71"/>
      <c r="G16" s="71"/>
      <c r="H16" s="71"/>
      <c r="I16" s="85"/>
    </row>
    <row r="17" spans="1:9">
      <c r="A17" s="78"/>
      <c r="B17" s="78"/>
      <c r="D17" s="4" t="s">
        <v>733</v>
      </c>
      <c r="E17" s="71"/>
      <c r="F17" s="71"/>
      <c r="G17" s="71"/>
      <c r="H17" s="71"/>
      <c r="I17" s="85"/>
    </row>
    <row r="18" spans="1:9">
      <c r="A18" s="78"/>
      <c r="B18" s="78"/>
      <c r="D18" s="26" t="s">
        <v>734</v>
      </c>
      <c r="E18" s="80"/>
      <c r="F18" s="80"/>
      <c r="G18" s="80"/>
      <c r="H18" s="80"/>
      <c r="I18" s="86"/>
    </row>
    <row r="19" spans="1:9">
      <c r="A19" s="78"/>
      <c r="B19" s="78"/>
      <c r="H19" s="4" t="s">
        <v>735</v>
      </c>
      <c r="I19" s="124">
        <f>SUM(I11:I18)</f>
        <v>0</v>
      </c>
    </row>
    <row r="20" spans="1:9">
      <c r="A20" s="78"/>
      <c r="B20" s="78"/>
      <c r="C20" s="4" t="s">
        <v>736</v>
      </c>
      <c r="D20" s="514" t="s">
        <v>737</v>
      </c>
      <c r="E20" s="514"/>
      <c r="F20" s="514"/>
      <c r="G20" s="514"/>
      <c r="H20" s="514"/>
      <c r="I20" s="85"/>
    </row>
    <row r="21" spans="1:9">
      <c r="A21" s="78"/>
      <c r="B21" s="78"/>
      <c r="D21" s="514" t="s">
        <v>738</v>
      </c>
      <c r="E21" s="514"/>
      <c r="F21" s="514"/>
      <c r="G21" s="514"/>
      <c r="H21" s="514"/>
      <c r="I21" s="85"/>
    </row>
    <row r="22" spans="1:9">
      <c r="A22" s="78"/>
      <c r="B22" s="78"/>
      <c r="D22" s="514" t="s">
        <v>739</v>
      </c>
      <c r="E22" s="514"/>
      <c r="F22" s="514"/>
      <c r="G22" s="514"/>
      <c r="H22" s="514"/>
      <c r="I22" s="85"/>
    </row>
    <row r="23" spans="1:9">
      <c r="A23" s="78"/>
      <c r="B23" s="78"/>
      <c r="D23" s="514" t="s">
        <v>740</v>
      </c>
      <c r="E23" s="514"/>
      <c r="F23" s="514"/>
      <c r="G23" s="514"/>
      <c r="H23" s="514"/>
      <c r="I23" s="85"/>
    </row>
    <row r="24" spans="1:9">
      <c r="A24" s="78"/>
      <c r="B24" s="78"/>
      <c r="D24" s="514" t="s">
        <v>741</v>
      </c>
      <c r="E24" s="514"/>
      <c r="F24" s="514"/>
      <c r="G24" s="514"/>
      <c r="H24" s="514"/>
      <c r="I24" s="85"/>
    </row>
    <row r="25" spans="1:9">
      <c r="A25" s="78"/>
      <c r="B25" s="78"/>
      <c r="D25" s="514" t="s">
        <v>742</v>
      </c>
      <c r="E25" s="514"/>
      <c r="F25" s="514"/>
      <c r="G25" s="514"/>
      <c r="H25" s="514"/>
      <c r="I25" s="85"/>
    </row>
    <row r="26" spans="1:9">
      <c r="A26" s="78"/>
      <c r="B26" s="78"/>
      <c r="D26" s="518" t="s">
        <v>743</v>
      </c>
      <c r="E26" s="518"/>
      <c r="F26" s="518"/>
      <c r="G26" s="518"/>
      <c r="H26" s="518"/>
      <c r="I26" s="86"/>
    </row>
    <row r="27" spans="1:9">
      <c r="A27" s="78"/>
      <c r="B27" s="78"/>
      <c r="H27" s="4" t="s">
        <v>735</v>
      </c>
      <c r="I27" s="124">
        <f>SUM(I20:I26)</f>
        <v>0</v>
      </c>
    </row>
    <row r="28" spans="1:9">
      <c r="A28" s="78"/>
      <c r="B28" s="78"/>
      <c r="C28" s="4" t="s">
        <v>744</v>
      </c>
      <c r="D28" s="4" t="s">
        <v>745</v>
      </c>
      <c r="I28" s="33"/>
    </row>
    <row r="29" spans="1:9">
      <c r="B29" s="78"/>
      <c r="I29" s="33"/>
    </row>
    <row r="30" spans="1:9" ht="14.4">
      <c r="B30" s="87" t="s">
        <v>746</v>
      </c>
      <c r="I30" s="33"/>
    </row>
    <row r="31" spans="1:9">
      <c r="B31" s="88" t="s">
        <v>747</v>
      </c>
      <c r="C31" s="514" t="s">
        <v>748</v>
      </c>
      <c r="D31" s="514"/>
      <c r="E31" s="71"/>
      <c r="I31" s="33"/>
    </row>
    <row r="32" spans="1:9" ht="13.95" customHeight="1">
      <c r="B32" s="78"/>
      <c r="C32" s="516" t="s">
        <v>749</v>
      </c>
      <c r="D32" s="516"/>
      <c r="E32" s="71"/>
      <c r="I32" s="33"/>
    </row>
    <row r="33" spans="2:9" ht="36" customHeight="1">
      <c r="B33" s="78"/>
      <c r="C33" s="516" t="s">
        <v>750</v>
      </c>
      <c r="D33" s="516"/>
      <c r="E33" s="71"/>
      <c r="I33" s="33"/>
    </row>
    <row r="34" spans="2:9" ht="42.75" customHeight="1">
      <c r="B34" s="78"/>
      <c r="C34" s="516" t="s">
        <v>751</v>
      </c>
      <c r="D34" s="516"/>
      <c r="E34" s="171" t="e">
        <f>E33/E32</f>
        <v>#DIV/0!</v>
      </c>
      <c r="I34" s="33"/>
    </row>
    <row r="35" spans="2:9">
      <c r="B35" s="78"/>
      <c r="I35" s="33"/>
    </row>
    <row r="36" spans="2:9" ht="14.25" customHeight="1">
      <c r="B36" s="78"/>
      <c r="C36" s="515" t="s">
        <v>752</v>
      </c>
      <c r="D36" s="515"/>
      <c r="E36" s="71"/>
      <c r="F36" s="517"/>
      <c r="G36" s="517"/>
      <c r="H36" s="517"/>
      <c r="I36" s="33"/>
    </row>
    <row r="37" spans="2:9">
      <c r="B37" s="78"/>
      <c r="F37" s="517"/>
      <c r="G37" s="517"/>
      <c r="H37" s="517"/>
      <c r="I37" s="33"/>
    </row>
    <row r="38" spans="2:9">
      <c r="B38" s="88" t="s">
        <v>753</v>
      </c>
      <c r="C38" s="514" t="s">
        <v>748</v>
      </c>
      <c r="D38" s="514"/>
      <c r="E38" s="71"/>
      <c r="I38" s="33"/>
    </row>
    <row r="39" spans="2:9">
      <c r="B39" s="78"/>
      <c r="C39" s="516" t="s">
        <v>749</v>
      </c>
      <c r="D39" s="516"/>
      <c r="E39" s="71"/>
      <c r="I39" s="33"/>
    </row>
    <row r="40" spans="2:9" ht="33.450000000000003" customHeight="1">
      <c r="B40" s="78"/>
      <c r="C40" s="516" t="s">
        <v>750</v>
      </c>
      <c r="D40" s="516"/>
      <c r="E40" s="71"/>
      <c r="I40" s="33"/>
    </row>
    <row r="41" spans="2:9" ht="28.2" customHeight="1">
      <c r="B41" s="78"/>
      <c r="C41" s="516" t="s">
        <v>751</v>
      </c>
      <c r="D41" s="516"/>
      <c r="E41" s="134" t="e">
        <f>E40/E39</f>
        <v>#DIV/0!</v>
      </c>
      <c r="I41" s="33"/>
    </row>
    <row r="42" spans="2:9" ht="28.2" customHeight="1">
      <c r="B42" s="78"/>
      <c r="C42" s="12"/>
      <c r="D42" s="12"/>
      <c r="E42" s="23"/>
      <c r="I42" s="33"/>
    </row>
    <row r="43" spans="2:9">
      <c r="B43" s="78"/>
      <c r="C43" s="515" t="s">
        <v>752</v>
      </c>
      <c r="D43" s="515"/>
      <c r="E43" s="71"/>
      <c r="I43" s="33"/>
    </row>
    <row r="44" spans="2:9">
      <c r="B44" s="78"/>
      <c r="I44" s="33"/>
    </row>
    <row r="45" spans="2:9" ht="14.4">
      <c r="B45" s="87" t="s">
        <v>754</v>
      </c>
      <c r="I45" s="33"/>
    </row>
    <row r="46" spans="2:9">
      <c r="B46" s="81"/>
      <c r="C46" s="26"/>
      <c r="D46" s="26"/>
      <c r="E46" s="26"/>
      <c r="F46" s="26"/>
      <c r="G46" s="26"/>
      <c r="H46" s="26"/>
      <c r="I46" s="82"/>
    </row>
  </sheetData>
  <sheetProtection algorithmName="SHA-512" hashValue="FEGR3E/Qv0tD8TjYEi8VkDSRmpjWJDzjNcg35bobPxh2PN/uRnAQAaD8RHWvz5CuTjL6uZwHvfloVocyJidMhw==" saltValue="m5yjnXSdwspb4AsBtvGeaA==" spinCount="100000" sheet="1" formatCells="0" formatColumns="0" formatRows="0" insertColumns="0" insertRows="0" insertHyperlinks="0"/>
  <sortState xmlns:xlrd2="http://schemas.microsoft.com/office/spreadsheetml/2017/richdata2" ref="D11:D18">
    <sortCondition ref="D18"/>
  </sortState>
  <mergeCells count="19">
    <mergeCell ref="D20:H20"/>
    <mergeCell ref="D21:H21"/>
    <mergeCell ref="D22:H22"/>
    <mergeCell ref="D23:H23"/>
    <mergeCell ref="B2:I2"/>
    <mergeCell ref="D24:H24"/>
    <mergeCell ref="D25:H25"/>
    <mergeCell ref="C34:D34"/>
    <mergeCell ref="C36:D36"/>
    <mergeCell ref="C31:D31"/>
    <mergeCell ref="F36:H37"/>
    <mergeCell ref="C32:D32"/>
    <mergeCell ref="C33:D33"/>
    <mergeCell ref="D26:H26"/>
    <mergeCell ref="C38:D38"/>
    <mergeCell ref="C43:D43"/>
    <mergeCell ref="C39:D39"/>
    <mergeCell ref="C40:D40"/>
    <mergeCell ref="C41:D41"/>
  </mergeCells>
  <pageMargins left="0.7" right="0.7" top="0.75" bottom="0.75" header="0.3" footer="0.3"/>
  <pageSetup scale="9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FF66D-4229-4CEC-A4DD-A126A4767ECD}">
  <sheetPr>
    <pageSetUpPr fitToPage="1"/>
  </sheetPr>
  <dimension ref="B1:R105"/>
  <sheetViews>
    <sheetView showGridLines="0" topLeftCell="A105" zoomScale="90" zoomScaleNormal="90" workbookViewId="0">
      <selection sqref="A1:XFD104"/>
    </sheetView>
  </sheetViews>
  <sheetFormatPr defaultColWidth="11.1640625" defaultRowHeight="15.6" outlineLevelRow="2"/>
  <cols>
    <col min="1" max="1" width="11.1640625" style="197"/>
    <col min="2" max="2" width="22.4140625" style="41" customWidth="1"/>
    <col min="3" max="3" width="22" style="36" customWidth="1"/>
    <col min="4" max="4" width="21.75" style="41" customWidth="1"/>
    <col min="5" max="5" width="10.75" style="36" customWidth="1"/>
    <col min="6" max="6" width="9.1640625" style="36" customWidth="1"/>
    <col min="7" max="7" width="8.1640625" style="36" customWidth="1"/>
    <col min="8" max="8" width="11.1640625" style="197"/>
    <col min="9" max="9" width="29.25" style="197" customWidth="1"/>
    <col min="10" max="16" width="11.1640625" style="197"/>
    <col min="17" max="17" width="11.1640625" style="197" customWidth="1"/>
    <col min="18" max="18" width="31.58203125" style="200" customWidth="1"/>
    <col min="19" max="19" width="3" style="197" customWidth="1"/>
    <col min="20" max="20" width="11.1640625" style="197" customWidth="1"/>
    <col min="21" max="16384" width="11.1640625" style="197"/>
  </cols>
  <sheetData>
    <row r="1" spans="2:18" ht="16.2" hidden="1" outlineLevel="1" thickBot="1"/>
    <row r="2" spans="2:18" ht="21" hidden="1" customHeight="1" outlineLevel="1" thickBot="1">
      <c r="I2" s="198" t="s">
        <v>755</v>
      </c>
      <c r="J2" s="199">
        <v>0</v>
      </c>
    </row>
    <row r="3" spans="2:18" ht="24.45" hidden="1" customHeight="1" outlineLevel="1">
      <c r="B3" s="201" t="s">
        <v>284</v>
      </c>
      <c r="C3" s="202" t="str">
        <f>assumptions!B1</f>
        <v>enter project name</v>
      </c>
      <c r="D3" s="203" t="s">
        <v>756</v>
      </c>
      <c r="E3" s="565">
        <f ca="1">TODAY()</f>
        <v>46069</v>
      </c>
      <c r="F3" s="565"/>
      <c r="G3" s="566"/>
      <c r="R3" s="197"/>
    </row>
    <row r="4" spans="2:18" ht="22.5" hidden="1" customHeight="1" outlineLevel="1">
      <c r="B4" s="545" t="s">
        <v>757</v>
      </c>
      <c r="C4" s="568"/>
      <c r="D4" s="204" t="s">
        <v>758</v>
      </c>
      <c r="E4" s="553">
        <f>rents!B101</f>
        <v>0</v>
      </c>
      <c r="F4" s="553"/>
      <c r="G4" s="554"/>
      <c r="R4" s="197"/>
    </row>
    <row r="5" spans="2:18" ht="22.2" hidden="1" customHeight="1" outlineLevel="1">
      <c r="B5" s="567"/>
      <c r="C5" s="569"/>
      <c r="D5" s="205" t="s">
        <v>759</v>
      </c>
      <c r="E5" s="570">
        <f>rents!G101</f>
        <v>0</v>
      </c>
      <c r="F5" s="570"/>
      <c r="G5" s="571"/>
      <c r="R5" s="197"/>
    </row>
    <row r="6" spans="2:18" ht="9.4499999999999993" hidden="1" customHeight="1" outlineLevel="1">
      <c r="B6" s="526" t="s">
        <v>760</v>
      </c>
      <c r="C6" s="572"/>
      <c r="D6" s="573" t="s">
        <v>761</v>
      </c>
      <c r="E6" s="574" t="s">
        <v>762</v>
      </c>
      <c r="F6" s="574" t="s">
        <v>509</v>
      </c>
      <c r="G6" s="557" t="s">
        <v>763</v>
      </c>
      <c r="R6" s="197"/>
    </row>
    <row r="7" spans="2:18" ht="21.45" hidden="1" customHeight="1" outlineLevel="1">
      <c r="B7" s="526"/>
      <c r="C7" s="572"/>
      <c r="D7" s="573"/>
      <c r="E7" s="574"/>
      <c r="F7" s="574"/>
      <c r="G7" s="557"/>
      <c r="R7" s="197"/>
    </row>
    <row r="8" spans="2:18" ht="22.5" hidden="1" customHeight="1" outlineLevel="1">
      <c r="B8" s="206" t="s">
        <v>764</v>
      </c>
      <c r="C8" s="207" t="s">
        <v>540</v>
      </c>
      <c r="E8" s="208" t="s">
        <v>765</v>
      </c>
      <c r="F8" s="209">
        <f>'rent summary'!D6+'rent summary'!D16</f>
        <v>0</v>
      </c>
      <c r="G8" s="210">
        <f>('rent summary'!C6+'rent summary'!C16)/2</f>
        <v>0</v>
      </c>
      <c r="R8" s="197"/>
    </row>
    <row r="9" spans="2:18" ht="22.5" hidden="1" customHeight="1" outlineLevel="1">
      <c r="B9" s="211" t="s">
        <v>298</v>
      </c>
      <c r="C9" s="212">
        <f>'sources-uses'!C93</f>
        <v>0</v>
      </c>
      <c r="E9" s="208" t="s">
        <v>766</v>
      </c>
      <c r="F9" s="209">
        <f>'rent summary'!D7+'rent summary'!D17</f>
        <v>0</v>
      </c>
      <c r="G9" s="210">
        <f>('rent summary'!C7+'rent summary'!C17)/2</f>
        <v>0</v>
      </c>
      <c r="R9" s="197"/>
    </row>
    <row r="10" spans="2:18" ht="22.5" hidden="1" customHeight="1" outlineLevel="1">
      <c r="B10" s="211" t="s">
        <v>767</v>
      </c>
      <c r="C10" s="298" t="e">
        <f>C9/E12</f>
        <v>#DIV/0!</v>
      </c>
      <c r="E10" s="208" t="s">
        <v>768</v>
      </c>
      <c r="F10" s="209">
        <f>'rent summary'!D8+'rent summary'!D18</f>
        <v>0</v>
      </c>
      <c r="G10" s="210">
        <f>('rent summary'!C8+'rent summary'!C18)/2</f>
        <v>0</v>
      </c>
      <c r="R10" s="197"/>
    </row>
    <row r="11" spans="2:18" ht="22.5" hidden="1" customHeight="1" outlineLevel="1">
      <c r="B11" s="213" t="s">
        <v>769</v>
      </c>
      <c r="C11" s="299" t="e">
        <f>C9/E4</f>
        <v>#DIV/0!</v>
      </c>
      <c r="D11" s="214"/>
      <c r="E11" s="215" t="s">
        <v>770</v>
      </c>
      <c r="F11" s="216">
        <f>'rent summary'!D9+'rent summary'!D19</f>
        <v>0</v>
      </c>
      <c r="G11" s="217">
        <f>('rent summary'!C9+'rent summary'!C19)/2</f>
        <v>0</v>
      </c>
      <c r="R11" s="197"/>
    </row>
    <row r="12" spans="2:18" ht="37.5" hidden="1" customHeight="1" outlineLevel="1">
      <c r="B12" s="218" t="s">
        <v>771</v>
      </c>
      <c r="C12" s="219">
        <f>'sources-uses'!C34</f>
        <v>0</v>
      </c>
      <c r="D12" s="204" t="s">
        <v>772</v>
      </c>
      <c r="E12" s="558">
        <f>rents!R105</f>
        <v>0</v>
      </c>
      <c r="F12" s="558"/>
      <c r="G12" s="559"/>
      <c r="R12" s="197"/>
    </row>
    <row r="13" spans="2:18" ht="24.75" hidden="1" customHeight="1" outlineLevel="1">
      <c r="B13" s="218" t="s">
        <v>767</v>
      </c>
      <c r="C13" s="220" t="e">
        <f>C12/E12</f>
        <v>#DIV/0!</v>
      </c>
      <c r="D13" s="204" t="s">
        <v>773</v>
      </c>
      <c r="E13" s="558">
        <f>rents!R103</f>
        <v>0</v>
      </c>
      <c r="F13" s="558"/>
      <c r="G13" s="559"/>
      <c r="R13" s="197"/>
    </row>
    <row r="14" spans="2:18" ht="24.75" hidden="1" customHeight="1" outlineLevel="1">
      <c r="B14" s="221" t="s">
        <v>769</v>
      </c>
      <c r="C14" s="222" t="e">
        <f>C12/E4</f>
        <v>#DIV/0!</v>
      </c>
      <c r="D14" s="205" t="s">
        <v>774</v>
      </c>
      <c r="E14" s="560">
        <f>rents!AM101</f>
        <v>0</v>
      </c>
      <c r="F14" s="560"/>
      <c r="G14" s="561"/>
      <c r="R14" s="197"/>
    </row>
    <row r="15" spans="2:18" ht="34.5" hidden="1" customHeight="1" outlineLevel="1">
      <c r="B15" s="223" t="s">
        <v>775</v>
      </c>
      <c r="C15" s="562" t="e">
        <f>'Housing w Services'!E34</f>
        <v>#DIV/0!</v>
      </c>
      <c r="D15" s="224" t="s">
        <v>776</v>
      </c>
      <c r="E15" s="563">
        <f>'Housing w Services'!D8</f>
        <v>0</v>
      </c>
      <c r="F15" s="563"/>
      <c r="G15" s="564"/>
      <c r="R15" s="197"/>
    </row>
    <row r="16" spans="2:18" ht="2.25" hidden="1" customHeight="1" outlineLevel="1">
      <c r="B16" s="225" t="str">
        <f>IF('Housing w Services'!E31="","",'Housing w Services'!E31)</f>
        <v/>
      </c>
      <c r="C16" s="549"/>
      <c r="D16" s="226"/>
      <c r="E16" s="227"/>
      <c r="F16" s="227"/>
      <c r="G16" s="228"/>
      <c r="R16" s="197"/>
    </row>
    <row r="17" spans="2:18" ht="31.5" hidden="1" customHeight="1" outlineLevel="1">
      <c r="B17" s="526" t="s">
        <v>777</v>
      </c>
      <c r="C17" s="549" t="e">
        <f>'Housing w Services'!E41</f>
        <v>#DIV/0!</v>
      </c>
      <c r="D17" s="229" t="s">
        <v>778</v>
      </c>
      <c r="E17" s="551">
        <v>0</v>
      </c>
      <c r="F17" s="551"/>
      <c r="G17" s="552"/>
      <c r="R17" s="197"/>
    </row>
    <row r="18" spans="2:18" ht="10.199999999999999" hidden="1" customHeight="1" outlineLevel="1">
      <c r="B18" s="548"/>
      <c r="C18" s="550"/>
      <c r="D18" s="230"/>
      <c r="E18" s="231"/>
      <c r="F18" s="231"/>
      <c r="G18" s="232"/>
      <c r="R18" s="197"/>
    </row>
    <row r="19" spans="2:18" ht="15.45" hidden="1" customHeight="1" outlineLevel="1">
      <c r="B19" s="218" t="s">
        <v>779</v>
      </c>
      <c r="C19" s="219">
        <f>assumptions!B15</f>
        <v>0</v>
      </c>
      <c r="D19" s="233" t="s">
        <v>780</v>
      </c>
      <c r="E19" s="541">
        <f>assumptions!D85</f>
        <v>0</v>
      </c>
      <c r="F19" s="541"/>
      <c r="G19" s="542"/>
      <c r="R19" s="197"/>
    </row>
    <row r="20" spans="2:18" ht="15.45" hidden="1" customHeight="1" outlineLevel="1">
      <c r="B20" s="218" t="s">
        <v>781</v>
      </c>
      <c r="C20" s="220">
        <f>IF(C19=0,0,C19/E4)</f>
        <v>0</v>
      </c>
      <c r="D20" s="233" t="s">
        <v>782</v>
      </c>
      <c r="E20" s="553" t="str">
        <f>assumptions!B13</f>
        <v>Average Income Test</v>
      </c>
      <c r="F20" s="553"/>
      <c r="G20" s="554"/>
      <c r="R20" s="197"/>
    </row>
    <row r="21" spans="2:18" ht="15.45" hidden="1" customHeight="1" outlineLevel="1">
      <c r="B21" s="221" t="s">
        <v>783</v>
      </c>
      <c r="C21" s="234" t="str">
        <f>IF('credit calcs'!C99=130%,"Yes","No")</f>
        <v>No</v>
      </c>
      <c r="D21" s="235" t="s">
        <v>784</v>
      </c>
      <c r="E21" s="555">
        <f>'credit calcs'!C99</f>
        <v>1</v>
      </c>
      <c r="F21" s="555"/>
      <c r="G21" s="556"/>
      <c r="R21" s="197"/>
    </row>
    <row r="22" spans="2:18" ht="31.2" hidden="1" customHeight="1" outlineLevel="1">
      <c r="B22" s="206" t="s">
        <v>785</v>
      </c>
      <c r="C22" s="236" t="str">
        <f>IF(F22="N/A","N/A",assumptions!B52/5/0.9)</f>
        <v>N/A</v>
      </c>
      <c r="D22" s="237" t="s">
        <v>786</v>
      </c>
      <c r="E22" s="238"/>
      <c r="F22" s="537" t="str">
        <f>IF(assumptions!B52=0,"N/A",assumptions!B52)</f>
        <v>N/A</v>
      </c>
      <c r="G22" s="538"/>
      <c r="R22" s="197"/>
    </row>
    <row r="23" spans="2:18" s="242" customFormat="1" ht="15.45" hidden="1" customHeight="1" outlineLevel="1">
      <c r="B23" s="239" t="str">
        <f>assumptions!A21</f>
        <v>VHFA Tax Exempt Permanent Debt</v>
      </c>
      <c r="C23" s="240">
        <f>IF(OR(assumptions!A21="VHFA Tax Exempt Permanent Debt",assumptions!A21="VHFA Taxable Permanent Debt",assumptions!A21="VHFA Special Debt"),assumptions!B21,0)</f>
        <v>0</v>
      </c>
      <c r="D23" s="241" t="s">
        <v>787</v>
      </c>
      <c r="E23" s="539" t="str" cm="1">
        <f t="array" ref="E23">_xlfn.IFS(assumptions!E4=C96,C70,assumptions!E4=1%,C68,assumptions!E4=1.5%,C69)</f>
        <v>Inc 1%, Exp 2.5%, Vac 5%</v>
      </c>
      <c r="F23" s="539"/>
      <c r="G23" s="540"/>
    </row>
    <row r="24" spans="2:18" s="242" customFormat="1" ht="15.45" hidden="1" customHeight="1" outlineLevel="1">
      <c r="B24" s="218" t="s">
        <v>788</v>
      </c>
      <c r="C24" s="243" t="str">
        <f>IF(C23=0,"N/A",assumptions!F21)</f>
        <v>N/A</v>
      </c>
      <c r="D24" s="233" t="s">
        <v>789</v>
      </c>
      <c r="E24" s="541" t="str" cm="1">
        <f t="array" ref="E24">_xlfn.IFS(J2=0,"TBD",assumptions!B23=0,"N/A",assumptions!B23&gt;0,assumptions!B23/K3)</f>
        <v>TBD</v>
      </c>
      <c r="F24" s="541"/>
      <c r="G24" s="542"/>
    </row>
    <row r="25" spans="2:18" s="242" customFormat="1" ht="15.45" hidden="1" customHeight="1" outlineLevel="1">
      <c r="B25" s="218" t="s">
        <v>790</v>
      </c>
      <c r="C25" s="243" t="str">
        <f>IF(C23=0,"N/A",assumptions!E21)</f>
        <v>N/A</v>
      </c>
      <c r="D25" s="233" t="s">
        <v>791</v>
      </c>
      <c r="E25" s="543" t="str">
        <f>IF(cashflows!C12=0,"TBD",cashflows!C8/cashflows!C12)</f>
        <v>TBD</v>
      </c>
      <c r="F25" s="543"/>
      <c r="G25" s="544"/>
    </row>
    <row r="26" spans="2:18" s="242" customFormat="1" ht="13.95" hidden="1" customHeight="1" outlineLevel="1">
      <c r="B26" s="545" t="s">
        <v>792</v>
      </c>
      <c r="C26" s="546" t="str">
        <f>IF(cashflows!C22&lt;&gt;"N/A",AVERAGE(cashflows!C22:L22),"N/A")</f>
        <v>N/A</v>
      </c>
      <c r="D26" s="547" t="s">
        <v>353</v>
      </c>
      <c r="E26" s="543" t="str">
        <f>cashflows!C22</f>
        <v>N/A</v>
      </c>
      <c r="F26" s="543"/>
      <c r="G26" s="544"/>
    </row>
    <row r="27" spans="2:18" ht="20.25" hidden="1" customHeight="1" outlineLevel="1">
      <c r="B27" s="545"/>
      <c r="C27" s="546"/>
      <c r="D27" s="547"/>
      <c r="E27" s="543"/>
      <c r="F27" s="543"/>
      <c r="G27" s="544"/>
      <c r="R27" s="197"/>
    </row>
    <row r="28" spans="2:18" ht="21.45" hidden="1" customHeight="1" outlineLevel="1">
      <c r="B28" s="525" t="s">
        <v>793</v>
      </c>
      <c r="C28" s="527">
        <f>IF(OR(assumptions!A68='VHFA Use'!C61,assumptions!A68='VHFA Use'!C62),assumptions!B68,0)</f>
        <v>0</v>
      </c>
      <c r="D28" s="529" t="s">
        <v>794</v>
      </c>
      <c r="E28" s="531">
        <f>IF(C28&lt;&gt;"N/A",assumptions!D68,"N/A")</f>
        <v>0</v>
      </c>
      <c r="F28" s="533" t="s">
        <v>788</v>
      </c>
      <c r="G28" s="535">
        <f>IF(E28&lt;&gt;"N/A",assumptions!E68,"N/A")</f>
        <v>0</v>
      </c>
      <c r="R28" s="197"/>
    </row>
    <row r="29" spans="2:18" ht="34.200000000000003" hidden="1" customHeight="1" outlineLevel="1">
      <c r="B29" s="526"/>
      <c r="C29" s="528"/>
      <c r="D29" s="530"/>
      <c r="E29" s="532"/>
      <c r="F29" s="534"/>
      <c r="G29" s="536"/>
      <c r="R29" s="197"/>
    </row>
    <row r="30" spans="2:18" ht="28.95" hidden="1" customHeight="1" outlineLevel="1">
      <c r="B30" s="244" t="s">
        <v>795</v>
      </c>
      <c r="C30" s="245">
        <f>IF(assumptions!A71="VHFA Equity Bridge Loan",assumptions!B71,"N/A")</f>
        <v>0</v>
      </c>
      <c r="D30" s="246" t="s">
        <v>794</v>
      </c>
      <c r="E30" s="247">
        <f>IF(C30&lt;&gt;"N/A",assumptions!D71,"N/A")</f>
        <v>0</v>
      </c>
      <c r="F30" s="248" t="s">
        <v>788</v>
      </c>
      <c r="G30" s="249">
        <f>IF(E30&lt;&gt;"N/A",assumptions!E71,"N/A")</f>
        <v>0</v>
      </c>
      <c r="R30" s="197"/>
    </row>
    <row r="31" spans="2:18" ht="4.2" hidden="1" customHeight="1" outlineLevel="1">
      <c r="B31" s="522" t="s">
        <v>796</v>
      </c>
      <c r="C31" s="250"/>
      <c r="D31" s="251"/>
      <c r="E31" s="252"/>
      <c r="F31" s="253"/>
      <c r="G31" s="254"/>
      <c r="R31" s="197"/>
    </row>
    <row r="32" spans="2:18" ht="36.75" hidden="1" customHeight="1" outlineLevel="1" thickBot="1">
      <c r="B32" s="523"/>
      <c r="C32" s="255" t="str">
        <f>IF(assumptions!B23=0,"N/A",assumptions!B23)</f>
        <v>N/A</v>
      </c>
      <c r="D32" s="256" t="s">
        <v>794</v>
      </c>
      <c r="E32" s="257" t="str">
        <f>IF(assumptions!B23=0,"N/A",assumptions!D23)</f>
        <v>N/A</v>
      </c>
      <c r="F32" s="258" t="s">
        <v>788</v>
      </c>
      <c r="G32" s="259" t="str">
        <f>IF(assumptions!B23=0,"N/A",assumptions!F23)</f>
        <v>N/A</v>
      </c>
      <c r="R32" s="197"/>
    </row>
    <row r="33" spans="2:18" ht="17.25" hidden="1" customHeight="1" outlineLevel="1">
      <c r="B33" s="206" t="s">
        <v>797</v>
      </c>
      <c r="D33" s="237"/>
      <c r="F33" s="260"/>
      <c r="G33" s="261"/>
      <c r="R33" s="262" t="s">
        <v>798</v>
      </c>
    </row>
    <row r="34" spans="2:18" ht="37.5" hidden="1" customHeight="1" outlineLevel="1">
      <c r="B34" s="263" t="str">
        <f>assumptions!A21</f>
        <v>VHFA Tax Exempt Permanent Debt</v>
      </c>
      <c r="C34" s="264" t="str">
        <f>assumptions!C21</f>
        <v>N/A</v>
      </c>
      <c r="D34" s="265" t="str">
        <f>assumptions!A23</f>
        <v>VHFA Housing Investments for Vermont (HIVE)</v>
      </c>
      <c r="E34" s="520" t="str">
        <f>assumptions!C23</f>
        <v>N/A</v>
      </c>
      <c r="F34" s="520"/>
      <c r="G34" s="521"/>
      <c r="R34" s="200" t="s">
        <v>310</v>
      </c>
    </row>
    <row r="35" spans="2:18" ht="22.5" hidden="1" customHeight="1" outlineLevel="1">
      <c r="B35" s="263" t="str">
        <f>assumptions!A35</f>
        <v>Energy Incentives</v>
      </c>
      <c r="C35" s="264" t="str">
        <f>assumptions!C35</f>
        <v>N/A</v>
      </c>
      <c r="D35" s="265" t="str">
        <f>assumptions!A36</f>
        <v>Deferred Developer Fee</v>
      </c>
      <c r="E35" s="520" t="str">
        <f>assumptions!C36</f>
        <v>N/A</v>
      </c>
      <c r="F35" s="520"/>
      <c r="G35" s="521"/>
    </row>
    <row r="36" spans="2:18" ht="22.5" hidden="1" customHeight="1" outlineLevel="1">
      <c r="B36" s="263" t="str">
        <f>assumptions!A29</f>
        <v>AHP</v>
      </c>
      <c r="C36" s="264" t="str">
        <f>assumptions!C29</f>
        <v>N/A</v>
      </c>
      <c r="D36" s="265" t="str">
        <f>assumptions!A48</f>
        <v>Existing Cash Accounts</v>
      </c>
      <c r="E36" s="520" t="str">
        <f>assumptions!C48</f>
        <v>N/A</v>
      </c>
      <c r="F36" s="520"/>
      <c r="G36" s="521"/>
      <c r="R36" s="200" t="s">
        <v>799</v>
      </c>
    </row>
    <row r="37" spans="2:18" ht="22.5" hidden="1" customHeight="1" outlineLevel="1">
      <c r="B37" s="263" t="str">
        <f>assumptions!A30</f>
        <v>HOME</v>
      </c>
      <c r="C37" s="264" t="str">
        <f>assumptions!C30</f>
        <v>N/A</v>
      </c>
      <c r="D37" s="265" t="str">
        <f>assumptions!A34</f>
        <v>VHCB Feasibility</v>
      </c>
      <c r="E37" s="520" t="str">
        <f>assumptions!C34</f>
        <v>N/A</v>
      </c>
      <c r="F37" s="520"/>
      <c r="G37" s="521"/>
      <c r="R37" s="200" t="s">
        <v>800</v>
      </c>
    </row>
    <row r="38" spans="2:18" ht="22.5" hidden="1" customHeight="1" outlineLevel="1">
      <c r="B38" s="263" t="str">
        <f>assumptions!A32</f>
        <v>VCDP</v>
      </c>
      <c r="C38" s="264" t="str">
        <f>assumptions!C32</f>
        <v>N/A</v>
      </c>
      <c r="D38" s="265" t="str">
        <f>assumptions!A49</f>
        <v>Investment Tax Credit</v>
      </c>
      <c r="E38" s="524" t="str">
        <f>assumptions!C49</f>
        <v>N/A</v>
      </c>
      <c r="F38" s="524"/>
      <c r="G38" s="521"/>
    </row>
    <row r="39" spans="2:18" ht="22.5" hidden="1" customHeight="1" outlineLevel="1">
      <c r="B39" s="263" t="str">
        <f>assumptions!A33</f>
        <v>VHCB</v>
      </c>
      <c r="C39" s="264" t="str">
        <f>assumptions!C33</f>
        <v>N/A</v>
      </c>
      <c r="D39" s="265" t="str">
        <f>assumptions!A50</f>
        <v>Historic Tax Credit Equity</v>
      </c>
      <c r="E39" s="520" t="str">
        <f>assumptions!C50</f>
        <v>N/A</v>
      </c>
      <c r="F39" s="520"/>
      <c r="G39" s="521"/>
    </row>
    <row r="40" spans="2:18" ht="37.5" hidden="1" customHeight="1" outlineLevel="1">
      <c r="B40" s="263" t="str">
        <f>assumptions!A51</f>
        <v>VHFA - Federal Tax Credit Equity</v>
      </c>
      <c r="C40" s="264" t="str">
        <f>assumptions!C51</f>
        <v>N/A</v>
      </c>
      <c r="D40" s="265" t="str">
        <f>assumptions!A52</f>
        <v>VHFA - VT State Tax Credit Equity</v>
      </c>
      <c r="E40" s="520" t="str">
        <f>assumptions!C52</f>
        <v>N/A</v>
      </c>
      <c r="F40" s="520"/>
      <c r="G40" s="521"/>
    </row>
    <row r="41" spans="2:18" ht="16.2" hidden="1" outlineLevel="1" thickBot="1">
      <c r="B41" s="266"/>
      <c r="C41" s="267"/>
      <c r="D41" s="268"/>
      <c r="E41" s="267"/>
      <c r="F41" s="267"/>
      <c r="G41" s="269"/>
    </row>
    <row r="42" spans="2:18" ht="16.2" hidden="1" outlineLevel="1" thickBot="1"/>
    <row r="43" spans="2:18" hidden="1" outlineLevel="2"/>
    <row r="44" spans="2:18" hidden="1" outlineLevel="2"/>
    <row r="45" spans="2:18" hidden="1" outlineLevel="2"/>
    <row r="46" spans="2:18" hidden="1" outlineLevel="2"/>
    <row r="47" spans="2:18" hidden="1" outlineLevel="2"/>
    <row r="48" spans="2:18" hidden="1" outlineLevel="2"/>
    <row r="49" spans="2:3" hidden="1" outlineLevel="2"/>
    <row r="50" spans="2:3" hidden="1" outlineLevel="2"/>
    <row r="51" spans="2:3" hidden="1" outlineLevel="2">
      <c r="B51" s="270" t="s">
        <v>801</v>
      </c>
      <c r="C51" s="270" t="s">
        <v>801</v>
      </c>
    </row>
    <row r="52" spans="2:3" hidden="1" outlineLevel="2">
      <c r="B52" s="197"/>
      <c r="C52" s="200" t="s">
        <v>802</v>
      </c>
    </row>
    <row r="53" spans="2:3" hidden="1" outlineLevel="2">
      <c r="B53" s="197"/>
      <c r="C53" s="200"/>
    </row>
    <row r="54" spans="2:3" ht="28.8" hidden="1" outlineLevel="2">
      <c r="B54" s="197"/>
      <c r="C54" s="200" t="s">
        <v>325</v>
      </c>
    </row>
    <row r="55" spans="2:3" hidden="1" outlineLevel="2">
      <c r="B55" s="197"/>
      <c r="C55" s="200" t="s">
        <v>326</v>
      </c>
    </row>
    <row r="56" spans="2:3" hidden="1" outlineLevel="2">
      <c r="B56" s="197"/>
      <c r="C56" s="200" t="s">
        <v>328</v>
      </c>
    </row>
    <row r="57" spans="2:3" ht="28.8" hidden="1" outlineLevel="2">
      <c r="B57" s="197"/>
      <c r="C57" s="200" t="s">
        <v>327</v>
      </c>
    </row>
    <row r="58" spans="2:3" hidden="1" outlineLevel="2">
      <c r="B58" s="197"/>
      <c r="C58" s="200" t="s">
        <v>329</v>
      </c>
    </row>
    <row r="59" spans="2:3" hidden="1" outlineLevel="2">
      <c r="B59" s="197"/>
      <c r="C59" s="200" t="s">
        <v>803</v>
      </c>
    </row>
    <row r="60" spans="2:3" hidden="1" outlineLevel="2">
      <c r="B60" s="197"/>
      <c r="C60" s="200" t="s">
        <v>804</v>
      </c>
    </row>
    <row r="61" spans="2:3" ht="28.8" hidden="1" outlineLevel="2">
      <c r="B61" s="197"/>
      <c r="C61" s="262" t="s">
        <v>358</v>
      </c>
    </row>
    <row r="62" spans="2:3" hidden="1" outlineLevel="2">
      <c r="B62" s="197"/>
      <c r="C62" s="262" t="s">
        <v>360</v>
      </c>
    </row>
    <row r="63" spans="2:3" ht="28.8" hidden="1" outlineLevel="2">
      <c r="B63" s="197"/>
      <c r="C63" s="200" t="s">
        <v>361</v>
      </c>
    </row>
    <row r="64" spans="2:3" hidden="1" outlineLevel="2">
      <c r="B64" s="197"/>
      <c r="C64" s="200" t="s">
        <v>805</v>
      </c>
    </row>
    <row r="65" spans="2:4" hidden="1" outlineLevel="2">
      <c r="B65" s="197"/>
      <c r="C65" s="200" t="s">
        <v>363</v>
      </c>
    </row>
    <row r="66" spans="2:4" ht="28.8" hidden="1" outlineLevel="2">
      <c r="B66" s="197"/>
      <c r="C66" s="200" t="s">
        <v>806</v>
      </c>
    </row>
    <row r="67" spans="2:4" hidden="1" outlineLevel="2">
      <c r="B67" s="197"/>
      <c r="C67" s="200" t="s">
        <v>803</v>
      </c>
    </row>
    <row r="68" spans="2:4" hidden="1" outlineLevel="2">
      <c r="B68" s="197"/>
      <c r="C68" s="200" t="s">
        <v>807</v>
      </c>
    </row>
    <row r="69" spans="2:4" hidden="1" outlineLevel="2">
      <c r="B69" s="197"/>
      <c r="C69" s="200" t="s">
        <v>808</v>
      </c>
    </row>
    <row r="70" spans="2:4" hidden="1" outlineLevel="2">
      <c r="B70" s="197"/>
      <c r="C70" s="200" t="s">
        <v>809</v>
      </c>
    </row>
    <row r="71" spans="2:4" hidden="1" outlineLevel="2">
      <c r="B71" s="197"/>
      <c r="C71" s="200" t="s">
        <v>540</v>
      </c>
      <c r="D71" s="41">
        <v>0</v>
      </c>
    </row>
    <row r="72" spans="2:4" hidden="1" outlineLevel="2">
      <c r="B72" s="197"/>
      <c r="C72" s="200" t="s">
        <v>810</v>
      </c>
      <c r="D72" s="41">
        <v>1</v>
      </c>
    </row>
    <row r="73" spans="2:4" hidden="1" outlineLevel="2">
      <c r="B73" s="197"/>
      <c r="C73" s="200"/>
    </row>
    <row r="74" spans="2:4" hidden="1" outlineLevel="2">
      <c r="B74" s="197"/>
      <c r="C74" s="271" t="s">
        <v>317</v>
      </c>
    </row>
    <row r="75" spans="2:4" hidden="1" outlineLevel="2">
      <c r="B75" s="242"/>
      <c r="C75" s="272" t="s">
        <v>811</v>
      </c>
    </row>
    <row r="76" spans="2:4" hidden="1" outlineLevel="2">
      <c r="B76" s="242"/>
      <c r="C76" s="273" t="s">
        <v>812</v>
      </c>
    </row>
    <row r="77" spans="2:4" hidden="1" outlineLevel="2">
      <c r="B77" s="273">
        <v>0.09</v>
      </c>
      <c r="C77" s="273">
        <v>0.04</v>
      </c>
    </row>
    <row r="78" spans="2:4" hidden="1" outlineLevel="2">
      <c r="B78" s="273"/>
      <c r="C78" s="197" t="s">
        <v>813</v>
      </c>
    </row>
    <row r="79" spans="2:4" hidden="1" outlineLevel="2">
      <c r="B79" s="273"/>
      <c r="C79" s="273" t="s">
        <v>799</v>
      </c>
    </row>
    <row r="80" spans="2:4" hidden="1" outlineLevel="2">
      <c r="B80" s="273"/>
      <c r="C80" s="273" t="s">
        <v>800</v>
      </c>
    </row>
    <row r="81" spans="2:3" hidden="1" outlineLevel="2">
      <c r="B81" s="273"/>
      <c r="C81" s="273"/>
    </row>
    <row r="82" spans="2:3" ht="28.8" hidden="1" outlineLevel="2">
      <c r="B82" s="242"/>
      <c r="C82" s="274" t="s">
        <v>814</v>
      </c>
    </row>
    <row r="83" spans="2:3" hidden="1" outlineLevel="2">
      <c r="B83" s="197"/>
      <c r="C83" s="274" t="s">
        <v>483</v>
      </c>
    </row>
    <row r="84" spans="2:3" hidden="1" outlineLevel="2">
      <c r="B84" s="197"/>
      <c r="C84" s="200" t="s">
        <v>815</v>
      </c>
    </row>
    <row r="85" spans="2:3" hidden="1" outlineLevel="2">
      <c r="B85" s="197"/>
      <c r="C85" s="200"/>
    </row>
    <row r="86" spans="2:3" hidden="1" outlineLevel="2">
      <c r="B86" s="197"/>
      <c r="C86" s="200" t="s">
        <v>310</v>
      </c>
    </row>
    <row r="87" spans="2:3" hidden="1" outlineLevel="2">
      <c r="B87" s="197"/>
      <c r="C87" s="262" t="s">
        <v>798</v>
      </c>
    </row>
    <row r="88" spans="2:3" hidden="1" outlineLevel="2">
      <c r="B88" s="197"/>
      <c r="C88" s="262" t="s">
        <v>816</v>
      </c>
    </row>
    <row r="89" spans="2:3" hidden="1" outlineLevel="2">
      <c r="C89" s="275">
        <v>0.01</v>
      </c>
    </row>
    <row r="90" spans="2:3" hidden="1" outlineLevel="2">
      <c r="C90" s="275">
        <v>1.4999999999999999E-2</v>
      </c>
    </row>
    <row r="91" spans="2:3" hidden="1" outlineLevel="2">
      <c r="C91" s="275" t="s">
        <v>817</v>
      </c>
    </row>
    <row r="92" spans="2:3" hidden="1" outlineLevel="2">
      <c r="C92" s="275">
        <v>2.5000000000000001E-2</v>
      </c>
    </row>
    <row r="93" spans="2:3" hidden="1" outlineLevel="2">
      <c r="C93" s="275">
        <v>0.03</v>
      </c>
    </row>
    <row r="94" spans="2:3" hidden="1" outlineLevel="2">
      <c r="C94" s="275" t="s">
        <v>817</v>
      </c>
    </row>
    <row r="95" spans="2:3" hidden="1" outlineLevel="2">
      <c r="C95" s="275">
        <v>0.05</v>
      </c>
    </row>
    <row r="96" spans="2:3" ht="16.2" hidden="1" outlineLevel="2" thickBot="1">
      <c r="C96" s="276" t="s">
        <v>817</v>
      </c>
    </row>
    <row r="97" spans="2:6" hidden="1" outlineLevel="1" collapsed="1">
      <c r="B97" s="277" t="s">
        <v>818</v>
      </c>
      <c r="C97" s="278" t="s">
        <v>499</v>
      </c>
      <c r="D97" s="279" t="s">
        <v>819</v>
      </c>
      <c r="E97" s="278" t="s">
        <v>820</v>
      </c>
      <c r="F97" s="280" t="s">
        <v>821</v>
      </c>
    </row>
    <row r="98" spans="2:6" hidden="1" outlineLevel="1">
      <c r="B98" s="281"/>
      <c r="C98" s="36" t="s">
        <v>822</v>
      </c>
      <c r="D98" s="282">
        <v>0.12</v>
      </c>
      <c r="E98" s="36">
        <v>1500000</v>
      </c>
      <c r="F98" s="261">
        <f>assumptions!$B$4</f>
        <v>0</v>
      </c>
    </row>
    <row r="99" spans="2:6" hidden="1" outlineLevel="1">
      <c r="B99" s="281"/>
      <c r="C99" s="36" t="s">
        <v>823</v>
      </c>
      <c r="D99" s="282">
        <v>0.12</v>
      </c>
      <c r="E99" s="36">
        <v>1000000</v>
      </c>
      <c r="F99" s="261">
        <f>assumptions!$B$4</f>
        <v>0</v>
      </c>
    </row>
    <row r="100" spans="2:6" hidden="1" outlineLevel="1">
      <c r="B100" s="281"/>
      <c r="C100" s="36" t="s">
        <v>824</v>
      </c>
      <c r="D100" s="282">
        <v>0.15</v>
      </c>
      <c r="E100" s="276">
        <v>1500000</v>
      </c>
      <c r="F100" s="261">
        <f>assumptions!$B$4</f>
        <v>0</v>
      </c>
    </row>
    <row r="101" spans="2:6" hidden="1" outlineLevel="1">
      <c r="B101" s="281"/>
      <c r="C101" s="36" t="s">
        <v>825</v>
      </c>
      <c r="D101" s="282">
        <v>0.12</v>
      </c>
      <c r="E101" s="36">
        <v>1500000</v>
      </c>
      <c r="F101" s="261">
        <f>assumptions!$B$4</f>
        <v>0</v>
      </c>
    </row>
    <row r="102" spans="2:6" hidden="1" outlineLevel="1">
      <c r="B102" s="281"/>
      <c r="C102" s="36" t="s">
        <v>826</v>
      </c>
      <c r="D102" s="282">
        <v>0.12</v>
      </c>
      <c r="E102" s="36">
        <v>1000000</v>
      </c>
      <c r="F102" s="261">
        <f>assumptions!$B$4</f>
        <v>0</v>
      </c>
    </row>
    <row r="103" spans="2:6" hidden="1" outlineLevel="1">
      <c r="B103" s="281"/>
      <c r="C103" s="36" t="s">
        <v>827</v>
      </c>
      <c r="D103" s="282">
        <v>0.15</v>
      </c>
      <c r="E103" s="36">
        <v>1000000</v>
      </c>
      <c r="F103" s="261">
        <f>assumptions!$B$4</f>
        <v>0</v>
      </c>
    </row>
    <row r="104" spans="2:6" ht="16.2" hidden="1" outlineLevel="1" thickBot="1">
      <c r="B104" s="266"/>
      <c r="C104" s="267" t="s">
        <v>828</v>
      </c>
      <c r="D104" s="283">
        <v>0.15</v>
      </c>
      <c r="E104" s="267">
        <v>1000000</v>
      </c>
      <c r="F104" s="269">
        <f>assumptions!$B$4</f>
        <v>0</v>
      </c>
    </row>
    <row r="105" spans="2:6" collapsed="1"/>
  </sheetData>
  <sheetProtection formatColumns="0" formatRows="0"/>
  <mergeCells count="44">
    <mergeCell ref="B6:B7"/>
    <mergeCell ref="C6:C7"/>
    <mergeCell ref="D6:D7"/>
    <mergeCell ref="E6:E7"/>
    <mergeCell ref="F6:F7"/>
    <mergeCell ref="E3:G3"/>
    <mergeCell ref="B4:B5"/>
    <mergeCell ref="C4:C5"/>
    <mergeCell ref="E4:G4"/>
    <mergeCell ref="E5:G5"/>
    <mergeCell ref="G6:G7"/>
    <mergeCell ref="E12:G12"/>
    <mergeCell ref="E13:G13"/>
    <mergeCell ref="E14:G14"/>
    <mergeCell ref="C15:C16"/>
    <mergeCell ref="E15:G15"/>
    <mergeCell ref="B26:B27"/>
    <mergeCell ref="C26:C27"/>
    <mergeCell ref="D26:D27"/>
    <mergeCell ref="E26:G27"/>
    <mergeCell ref="B17:B18"/>
    <mergeCell ref="C17:C18"/>
    <mergeCell ref="E17:G17"/>
    <mergeCell ref="E19:G19"/>
    <mergeCell ref="E20:G20"/>
    <mergeCell ref="E21:G21"/>
    <mergeCell ref="G28:G29"/>
    <mergeCell ref="F22:G22"/>
    <mergeCell ref="E23:G23"/>
    <mergeCell ref="E24:G24"/>
    <mergeCell ref="E25:G25"/>
    <mergeCell ref="B28:B29"/>
    <mergeCell ref="C28:C29"/>
    <mergeCell ref="D28:D29"/>
    <mergeCell ref="E28:E29"/>
    <mergeCell ref="F28:F29"/>
    <mergeCell ref="E39:G39"/>
    <mergeCell ref="E40:G40"/>
    <mergeCell ref="B31:B32"/>
    <mergeCell ref="E34:G34"/>
    <mergeCell ref="E35:G35"/>
    <mergeCell ref="E36:G36"/>
    <mergeCell ref="E37:G37"/>
    <mergeCell ref="E38:G38"/>
  </mergeCells>
  <dataValidations count="1">
    <dataValidation type="list" allowBlank="1" showInputMessage="1" showErrorMessage="1" sqref="C8" xr:uid="{F4936F58-022B-413F-ABFB-F4D408A76636}">
      <formula1>$C$71:$C$72</formula1>
    </dataValidation>
  </dataValidations>
  <pageMargins left="0.7" right="0.7" top="0.75" bottom="0.75" header="0.3" footer="0.3"/>
  <pageSetup scale="6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A4CB6-01AB-49E7-9644-9BD2C3BA5B70}">
  <dimension ref="A1:P190"/>
  <sheetViews>
    <sheetView topLeftCell="F11" zoomScale="69" workbookViewId="0">
      <selection activeCell="U12" sqref="U12"/>
    </sheetView>
  </sheetViews>
  <sheetFormatPr defaultColWidth="6.75" defaultRowHeight="14.4"/>
  <cols>
    <col min="1" max="1" width="3.75" style="352" customWidth="1"/>
    <col min="2" max="2" width="29.75" style="352" customWidth="1"/>
    <col min="3" max="3" width="12.25" style="352" customWidth="1"/>
    <col min="4" max="4" width="3.25" style="352" customWidth="1"/>
    <col min="5" max="5" width="7.75" style="352" customWidth="1"/>
    <col min="6" max="6" width="42.75" style="352" customWidth="1"/>
    <col min="7" max="7" width="4.25" style="352" customWidth="1"/>
    <col min="8" max="8" width="42.75" style="352" customWidth="1"/>
    <col min="9" max="9" width="24.25" style="353" customWidth="1"/>
    <col min="10" max="10" width="12.58203125" style="352" customWidth="1"/>
    <col min="11" max="11" width="39.1640625" style="352" customWidth="1"/>
    <col min="12" max="12" width="13.1640625" style="352" customWidth="1"/>
    <col min="13" max="13" width="25.4140625" style="352" customWidth="1"/>
    <col min="14" max="14" width="20.1640625" style="353" customWidth="1"/>
    <col min="15" max="15" width="12.75" style="352" customWidth="1"/>
    <col min="16" max="16" width="17.75" style="352" customWidth="1"/>
    <col min="17" max="16384" width="6.75" style="352"/>
  </cols>
  <sheetData>
    <row r="1" spans="2:16" ht="28.2" customHeight="1">
      <c r="J1" s="352" t="s">
        <v>14</v>
      </c>
    </row>
    <row r="2" spans="2:16" ht="56.7" customHeight="1"/>
    <row r="3" spans="2:16" ht="19.95" customHeight="1">
      <c r="B3" s="510"/>
      <c r="C3" s="510"/>
      <c r="D3" s="510"/>
      <c r="E3" s="510"/>
      <c r="F3" s="510"/>
      <c r="G3" s="510"/>
      <c r="H3" s="511"/>
      <c r="I3" s="511"/>
      <c r="J3" s="488"/>
      <c r="K3" s="488"/>
    </row>
    <row r="4" spans="2:16" ht="44.7" customHeight="1">
      <c r="M4" s="489"/>
      <c r="N4" s="354"/>
      <c r="O4" s="490"/>
      <c r="P4" s="489"/>
    </row>
    <row r="5" spans="2:16" ht="21" customHeight="1">
      <c r="B5" s="355" t="s">
        <v>15</v>
      </c>
      <c r="C5" s="355"/>
      <c r="D5" s="355"/>
      <c r="E5" s="355"/>
      <c r="F5" s="355"/>
      <c r="G5" s="355"/>
      <c r="H5" s="356" t="s">
        <v>16</v>
      </c>
      <c r="I5" s="357" t="s">
        <v>17</v>
      </c>
      <c r="J5" s="491" t="s">
        <v>18</v>
      </c>
      <c r="K5" s="492"/>
      <c r="M5" s="493" t="s">
        <v>19</v>
      </c>
      <c r="N5" s="358"/>
      <c r="O5" s="491" t="s">
        <v>18</v>
      </c>
      <c r="P5" s="489"/>
    </row>
    <row r="6" spans="2:16" ht="18">
      <c r="B6" s="355"/>
      <c r="C6" s="355"/>
      <c r="D6" s="355"/>
      <c r="E6" s="355"/>
      <c r="F6" s="355"/>
      <c r="G6" s="355">
        <v>1</v>
      </c>
      <c r="H6" s="359" t="s">
        <v>20</v>
      </c>
      <c r="I6" s="357">
        <f>IFERROR(SUMIF('BP - development budget v2'!A:A, "Acquisition Costs", 'BP - development budget v2'!E:E),"")</f>
        <v>0</v>
      </c>
      <c r="J6" s="494"/>
      <c r="K6" s="360"/>
      <c r="L6" s="355">
        <v>1</v>
      </c>
      <c r="M6" s="359" t="s">
        <v>20</v>
      </c>
      <c r="N6" s="357">
        <f t="shared" ref="N6:N11" si="0">I6</f>
        <v>0</v>
      </c>
      <c r="O6" s="495"/>
      <c r="P6" s="362"/>
    </row>
    <row r="7" spans="2:16" ht="18">
      <c r="B7" s="355" t="s">
        <v>21</v>
      </c>
      <c r="C7" s="512"/>
      <c r="D7" s="512"/>
      <c r="E7" s="512"/>
      <c r="F7" s="512"/>
      <c r="G7" s="355">
        <v>2</v>
      </c>
      <c r="H7" s="359" t="s">
        <v>22</v>
      </c>
      <c r="I7" s="357">
        <f>IFERROR(SUMIF('BP - development budget v2'!A:A,"Hard Costs",'BP - development budget v2'!E:E),"")</f>
        <v>0</v>
      </c>
      <c r="J7" s="494"/>
      <c r="K7" s="360"/>
      <c r="L7" s="355">
        <v>2</v>
      </c>
      <c r="M7" s="359" t="s">
        <v>22</v>
      </c>
      <c r="N7" s="357">
        <f t="shared" si="0"/>
        <v>0</v>
      </c>
      <c r="O7" s="495"/>
      <c r="P7" s="362"/>
    </row>
    <row r="8" spans="2:16" ht="18">
      <c r="B8" s="355"/>
      <c r="C8" s="363"/>
      <c r="D8" s="363"/>
      <c r="E8" s="363"/>
      <c r="F8" s="363"/>
      <c r="G8" s="355">
        <v>3</v>
      </c>
      <c r="H8" s="359" t="s">
        <v>23</v>
      </c>
      <c r="I8" s="357">
        <f>IFERROR(SUMIF('BP - development budget v2'!A:A, "Hard Cost Contingency", 'BP - development budget v2'!E:E),"")</f>
        <v>0</v>
      </c>
      <c r="J8" s="494"/>
      <c r="K8" s="360"/>
      <c r="L8" s="355">
        <v>3</v>
      </c>
      <c r="M8" s="359" t="s">
        <v>23</v>
      </c>
      <c r="N8" s="357">
        <f t="shared" si="0"/>
        <v>0</v>
      </c>
      <c r="O8" s="495"/>
      <c r="P8" s="362"/>
    </row>
    <row r="9" spans="2:16" ht="18">
      <c r="B9" s="355" t="s">
        <v>24</v>
      </c>
      <c r="C9" s="505"/>
      <c r="D9" s="505"/>
      <c r="E9" s="505"/>
      <c r="F9" s="505"/>
      <c r="G9" s="355">
        <v>4</v>
      </c>
      <c r="H9" s="359" t="s">
        <v>25</v>
      </c>
      <c r="I9" s="357">
        <f>IFERROR(SUMIF('BP - development budget v2'!A:A, "Soft Costs", 'BP - development budget v2'!E:E),"")</f>
        <v>0</v>
      </c>
      <c r="J9" s="494"/>
      <c r="K9" s="360"/>
      <c r="L9" s="355">
        <v>4</v>
      </c>
      <c r="M9" s="359" t="s">
        <v>25</v>
      </c>
      <c r="N9" s="357">
        <f t="shared" si="0"/>
        <v>0</v>
      </c>
      <c r="O9" s="495"/>
      <c r="P9" s="362"/>
    </row>
    <row r="10" spans="2:16" ht="18">
      <c r="B10" s="355"/>
      <c r="C10" s="363"/>
      <c r="D10" s="363"/>
      <c r="E10" s="363"/>
      <c r="F10" s="363"/>
      <c r="G10" s="355">
        <v>5</v>
      </c>
      <c r="H10" s="359" t="s">
        <v>26</v>
      </c>
      <c r="I10" s="357">
        <f>IFERROR(SUMIF('BP - development budget v2'!A:A, "Soft Cost Contingency", 'BP - development budget v2'!E:E),"")</f>
        <v>0</v>
      </c>
      <c r="J10" s="494"/>
      <c r="K10" s="360"/>
      <c r="L10" s="355">
        <v>5</v>
      </c>
      <c r="M10" s="359" t="s">
        <v>26</v>
      </c>
      <c r="N10" s="357">
        <f t="shared" si="0"/>
        <v>0</v>
      </c>
      <c r="O10" s="495"/>
      <c r="P10" s="362"/>
    </row>
    <row r="11" spans="2:16" ht="18">
      <c r="B11" s="355" t="s">
        <v>27</v>
      </c>
      <c r="C11" s="505"/>
      <c r="D11" s="505"/>
      <c r="E11" s="505"/>
      <c r="F11" s="505"/>
      <c r="G11" s="355">
        <v>6</v>
      </c>
      <c r="H11" s="359" t="s">
        <v>28</v>
      </c>
      <c r="I11" s="357">
        <f>IFERROR(SUMIF('BP - development budget v2'!A:A, "Developer Fees", 'BP - development budget v2'!E:E),"")</f>
        <v>0</v>
      </c>
      <c r="J11" s="496"/>
      <c r="K11" s="364"/>
      <c r="L11" s="355">
        <v>6</v>
      </c>
      <c r="M11" s="359" t="s">
        <v>29</v>
      </c>
      <c r="N11" s="357">
        <f t="shared" si="0"/>
        <v>0</v>
      </c>
      <c r="O11" s="495"/>
      <c r="P11" s="362"/>
    </row>
    <row r="12" spans="2:16" ht="18">
      <c r="B12" s="355"/>
      <c r="C12" s="363"/>
      <c r="D12" s="363"/>
      <c r="E12" s="363"/>
      <c r="F12" s="363"/>
      <c r="G12" s="355">
        <v>7</v>
      </c>
      <c r="H12" s="359"/>
      <c r="I12" s="365"/>
      <c r="J12" s="496"/>
      <c r="K12" s="364"/>
      <c r="L12" s="355">
        <v>7</v>
      </c>
      <c r="M12" s="359"/>
      <c r="N12" s="357"/>
      <c r="O12" s="496"/>
      <c r="P12" s="362"/>
    </row>
    <row r="13" spans="2:16" ht="18">
      <c r="B13" s="355" t="s">
        <v>30</v>
      </c>
      <c r="C13" s="509" t="s">
        <v>31</v>
      </c>
      <c r="D13" s="509"/>
      <c r="E13" s="509"/>
      <c r="F13" s="509"/>
      <c r="G13" s="355">
        <v>8</v>
      </c>
      <c r="H13" s="359"/>
      <c r="I13" s="365"/>
      <c r="J13" s="496"/>
      <c r="K13" s="364"/>
      <c r="L13" s="355">
        <v>8</v>
      </c>
      <c r="M13" s="497"/>
      <c r="N13" s="357"/>
      <c r="O13" s="496"/>
      <c r="P13" s="362"/>
    </row>
    <row r="14" spans="2:16" ht="18">
      <c r="B14" s="355"/>
      <c r="C14" s="363"/>
      <c r="D14" s="363"/>
      <c r="E14" s="363"/>
      <c r="F14" s="363"/>
      <c r="G14" s="355">
        <v>9</v>
      </c>
      <c r="H14" s="359"/>
      <c r="I14" s="365"/>
      <c r="J14" s="496"/>
      <c r="K14" s="364"/>
      <c r="L14" s="355">
        <v>9</v>
      </c>
      <c r="M14" s="498"/>
      <c r="N14" s="365"/>
      <c r="O14" s="496"/>
      <c r="P14" s="362"/>
    </row>
    <row r="15" spans="2:16" ht="18">
      <c r="B15" s="355" t="s">
        <v>32</v>
      </c>
      <c r="C15" s="506" t="s">
        <v>33</v>
      </c>
      <c r="D15" s="507"/>
      <c r="E15" s="507"/>
      <c r="F15" s="508"/>
      <c r="G15" s="355">
        <v>10</v>
      </c>
      <c r="H15" s="359"/>
      <c r="I15" s="365"/>
      <c r="J15" s="496"/>
      <c r="K15" s="364"/>
      <c r="L15" s="355">
        <v>10</v>
      </c>
      <c r="M15" s="499"/>
      <c r="N15" s="366"/>
      <c r="O15" s="496"/>
      <c r="P15" s="362"/>
    </row>
    <row r="16" spans="2:16" ht="18">
      <c r="B16" s="355"/>
      <c r="C16" s="363"/>
      <c r="D16" s="363"/>
      <c r="E16" s="363"/>
      <c r="F16" s="363"/>
      <c r="G16" s="355">
        <v>11</v>
      </c>
      <c r="H16" s="359"/>
      <c r="I16" s="365"/>
      <c r="J16" s="496"/>
      <c r="K16" s="364"/>
      <c r="L16" s="355">
        <v>11</v>
      </c>
      <c r="M16" s="499"/>
      <c r="N16" s="366"/>
      <c r="O16" s="496"/>
      <c r="P16" s="362"/>
    </row>
    <row r="17" spans="2:16" ht="18">
      <c r="B17" s="355" t="s">
        <v>34</v>
      </c>
      <c r="C17" s="363"/>
      <c r="D17" s="363"/>
      <c r="E17" s="363"/>
      <c r="F17" s="363"/>
      <c r="G17" s="355">
        <v>12</v>
      </c>
      <c r="H17" s="359"/>
      <c r="I17" s="365"/>
      <c r="J17" s="496"/>
      <c r="K17" s="364"/>
      <c r="L17" s="355">
        <v>12</v>
      </c>
      <c r="M17" s="499"/>
      <c r="N17" s="366"/>
      <c r="O17" s="496"/>
      <c r="P17" s="362"/>
    </row>
    <row r="18" spans="2:16" ht="18">
      <c r="B18" s="355"/>
      <c r="C18" s="363"/>
      <c r="D18" s="363"/>
      <c r="E18" s="363"/>
      <c r="F18" s="363"/>
      <c r="G18" s="355">
        <v>13</v>
      </c>
      <c r="H18" s="359"/>
      <c r="I18" s="365"/>
      <c r="J18" s="496"/>
      <c r="K18" s="364"/>
      <c r="L18" s="355">
        <v>13</v>
      </c>
      <c r="M18" s="499"/>
      <c r="N18" s="366"/>
      <c r="O18" s="496"/>
      <c r="P18" s="362"/>
    </row>
    <row r="19" spans="2:16" ht="18">
      <c r="B19" s="355" t="s">
        <v>35</v>
      </c>
      <c r="C19" s="505"/>
      <c r="D19" s="505"/>
      <c r="E19" s="505"/>
      <c r="F19" s="505"/>
      <c r="G19" s="355">
        <v>14</v>
      </c>
      <c r="H19" s="359"/>
      <c r="I19" s="365"/>
      <c r="J19" s="496"/>
      <c r="K19" s="364"/>
      <c r="L19" s="355">
        <v>14</v>
      </c>
      <c r="M19" s="499"/>
      <c r="N19" s="366"/>
      <c r="O19" s="496"/>
      <c r="P19" s="362"/>
    </row>
    <row r="20" spans="2:16" ht="18">
      <c r="B20" s="355"/>
      <c r="C20" s="367"/>
      <c r="D20" s="367"/>
      <c r="E20" s="367"/>
      <c r="F20" s="367"/>
      <c r="G20" s="355">
        <v>15</v>
      </c>
      <c r="H20" s="359"/>
      <c r="I20" s="365"/>
      <c r="J20" s="496"/>
      <c r="K20" s="364"/>
      <c r="L20" s="355">
        <v>15</v>
      </c>
      <c r="M20" s="499"/>
      <c r="N20" s="366"/>
      <c r="O20" s="496"/>
      <c r="P20" s="362"/>
    </row>
    <row r="21" spans="2:16" ht="18">
      <c r="B21" s="355"/>
      <c r="C21" s="367"/>
      <c r="D21" s="367"/>
      <c r="E21" s="367"/>
      <c r="F21" s="367"/>
      <c r="G21" s="355">
        <v>16</v>
      </c>
      <c r="H21" s="359"/>
      <c r="I21" s="365"/>
      <c r="J21" s="496"/>
      <c r="K21" s="364"/>
      <c r="L21" s="355">
        <v>16</v>
      </c>
      <c r="M21" s="499"/>
      <c r="N21" s="366"/>
      <c r="O21" s="496"/>
      <c r="P21" s="362"/>
    </row>
    <row r="22" spans="2:16" ht="18">
      <c r="B22" s="355" t="s">
        <v>36</v>
      </c>
      <c r="C22" s="505"/>
      <c r="D22" s="505"/>
      <c r="E22" s="505"/>
      <c r="F22" s="505"/>
      <c r="G22" s="355">
        <v>17</v>
      </c>
      <c r="H22" s="359"/>
      <c r="I22" s="365"/>
      <c r="J22" s="496"/>
      <c r="K22" s="364"/>
      <c r="L22" s="355">
        <v>17</v>
      </c>
      <c r="M22" s="499"/>
      <c r="N22" s="366"/>
      <c r="O22" s="496"/>
      <c r="P22" s="362"/>
    </row>
    <row r="23" spans="2:16" ht="18">
      <c r="B23" s="355" t="s">
        <v>37</v>
      </c>
      <c r="C23" s="505"/>
      <c r="D23" s="505"/>
      <c r="E23" s="505"/>
      <c r="F23" s="505"/>
      <c r="G23" s="355">
        <v>18</v>
      </c>
      <c r="H23" s="359"/>
      <c r="I23" s="365"/>
      <c r="J23" s="496"/>
      <c r="K23" s="364"/>
      <c r="L23" s="355">
        <v>18</v>
      </c>
      <c r="M23" s="499"/>
      <c r="N23" s="366"/>
      <c r="O23" s="496"/>
      <c r="P23" s="362"/>
    </row>
    <row r="24" spans="2:16" ht="18">
      <c r="B24" s="355" t="s">
        <v>38</v>
      </c>
      <c r="C24" s="505"/>
      <c r="D24" s="505"/>
      <c r="E24" s="505"/>
      <c r="F24" s="505"/>
      <c r="G24" s="355">
        <v>19</v>
      </c>
      <c r="H24" s="359"/>
      <c r="I24" s="365"/>
      <c r="J24" s="496"/>
      <c r="K24" s="364"/>
      <c r="L24" s="355">
        <v>19</v>
      </c>
      <c r="M24" s="499"/>
      <c r="N24" s="366"/>
      <c r="O24" s="496"/>
      <c r="P24" s="362"/>
    </row>
    <row r="25" spans="2:16" ht="18">
      <c r="B25" s="355" t="s">
        <v>39</v>
      </c>
      <c r="C25" s="509" t="s">
        <v>40</v>
      </c>
      <c r="D25" s="509"/>
      <c r="E25" s="509"/>
      <c r="F25" s="509"/>
      <c r="G25" s="355">
        <v>20</v>
      </c>
      <c r="H25" s="359"/>
      <c r="I25" s="365"/>
      <c r="J25" s="496"/>
      <c r="K25" s="364"/>
      <c r="L25" s="355">
        <v>20</v>
      </c>
      <c r="M25" s="499"/>
      <c r="N25" s="366"/>
      <c r="O25" s="496"/>
      <c r="P25" s="362"/>
    </row>
    <row r="26" spans="2:16" ht="18">
      <c r="B26" s="355" t="s">
        <v>41</v>
      </c>
      <c r="C26" s="505"/>
      <c r="D26" s="505"/>
      <c r="E26" s="505"/>
      <c r="F26" s="505"/>
      <c r="G26" s="355"/>
      <c r="H26" s="356" t="s">
        <v>42</v>
      </c>
      <c r="I26" s="357">
        <f>SUM(I6:I25)</f>
        <v>0</v>
      </c>
      <c r="J26" s="494"/>
      <c r="K26" s="352" t="s">
        <v>43</v>
      </c>
      <c r="M26" s="369" t="s">
        <v>44</v>
      </c>
      <c r="N26" s="357">
        <f>SUM(N6:N25)</f>
        <v>0</v>
      </c>
      <c r="O26" s="494"/>
      <c r="P26" s="362"/>
    </row>
    <row r="27" spans="2:16" ht="18">
      <c r="B27" s="355" t="s">
        <v>45</v>
      </c>
      <c r="C27" s="505" t="s">
        <v>46</v>
      </c>
      <c r="D27" s="505"/>
      <c r="E27" s="505"/>
      <c r="F27" s="505"/>
      <c r="G27" s="355"/>
      <c r="M27" s="362"/>
      <c r="N27" s="370"/>
      <c r="O27" s="371"/>
      <c r="P27" s="362"/>
    </row>
    <row r="28" spans="2:16" ht="18">
      <c r="B28" s="355"/>
      <c r="C28" s="355"/>
      <c r="D28" s="355"/>
      <c r="E28" s="355"/>
      <c r="F28" s="355"/>
      <c r="G28" s="355"/>
      <c r="H28" s="356" t="s">
        <v>47</v>
      </c>
      <c r="I28" s="357"/>
      <c r="J28" s="491" t="s">
        <v>18</v>
      </c>
      <c r="K28" s="360"/>
      <c r="M28" s="500" t="s">
        <v>48</v>
      </c>
      <c r="N28" s="372"/>
      <c r="O28" s="491" t="s">
        <v>18</v>
      </c>
      <c r="P28" s="362"/>
    </row>
    <row r="29" spans="2:16" ht="18">
      <c r="B29" s="355"/>
      <c r="C29" s="355"/>
      <c r="D29" s="355"/>
      <c r="E29" s="355"/>
      <c r="F29" s="355"/>
      <c r="G29" s="355">
        <v>1</v>
      </c>
      <c r="H29" s="359" t="str">
        <f>IF(I29="","",assumptions!A21)</f>
        <v/>
      </c>
      <c r="I29" s="373" t="str">
        <f>IF(assumptions!B21=0,"",assumptions!B21)</f>
        <v/>
      </c>
      <c r="J29" s="361" t="str">
        <f t="shared" ref="J29:J66" si="1">IFERROR(I29/$I$66,"")</f>
        <v/>
      </c>
      <c r="K29" s="360"/>
      <c r="L29" s="355">
        <v>1</v>
      </c>
      <c r="M29" s="359" t="str">
        <f>assumptions!A68</f>
        <v>VHFA Tax Exempt Construction Debt</v>
      </c>
      <c r="N29" s="373">
        <f>assumptions!B68</f>
        <v>0</v>
      </c>
      <c r="O29" s="361" t="str">
        <f t="shared" ref="O29:O66" si="2">IFERROR(N29/$N$66,"")</f>
        <v/>
      </c>
      <c r="P29" s="362"/>
    </row>
    <row r="30" spans="2:16" ht="18">
      <c r="B30" s="355" t="s">
        <v>49</v>
      </c>
      <c r="C30" s="355"/>
      <c r="D30" s="355"/>
      <c r="E30" s="355"/>
      <c r="F30" s="355"/>
      <c r="G30" s="355">
        <v>2</v>
      </c>
      <c r="H30" s="359" t="str">
        <f>IF(I30="","",assumptions!A22)</f>
        <v/>
      </c>
      <c r="I30" s="373" t="str">
        <f>IF(assumptions!B22=0,"",assumptions!B22)</f>
        <v/>
      </c>
      <c r="J30" s="361" t="str">
        <f t="shared" si="1"/>
        <v/>
      </c>
      <c r="K30" s="360"/>
      <c r="L30" s="355">
        <v>2</v>
      </c>
      <c r="M30" s="359" t="str">
        <f>assumptions!A71</f>
        <v>VHFA Equity Bridge Loan</v>
      </c>
      <c r="N30" s="373">
        <f>assumptions!B71</f>
        <v>0</v>
      </c>
      <c r="O30" s="361" t="str">
        <f t="shared" si="2"/>
        <v/>
      </c>
      <c r="P30" s="362"/>
    </row>
    <row r="31" spans="2:16" ht="18">
      <c r="B31" s="355"/>
      <c r="C31" s="355"/>
      <c r="D31" s="355"/>
      <c r="E31" s="355"/>
      <c r="F31" s="355"/>
      <c r="G31" s="355">
        <v>3</v>
      </c>
      <c r="H31" s="359" t="str">
        <f>IF(I31="","",assumptions!A23)</f>
        <v/>
      </c>
      <c r="I31" s="373" t="str">
        <f>IF(assumptions!B23=0,"",assumptions!B23)</f>
        <v/>
      </c>
      <c r="J31" s="361" t="str">
        <f t="shared" si="1"/>
        <v/>
      </c>
      <c r="K31" s="360"/>
      <c r="L31" s="355">
        <v>3</v>
      </c>
      <c r="M31" s="359" t="str">
        <f>assumptions!A70</f>
        <v>Non-VHFA Other Construction Debt</v>
      </c>
      <c r="N31" s="373">
        <f>assumptions!B70</f>
        <v>0</v>
      </c>
      <c r="O31" s="361" t="str">
        <f t="shared" si="2"/>
        <v/>
      </c>
      <c r="P31" s="362"/>
    </row>
    <row r="32" spans="2:16" ht="18">
      <c r="B32" s="355" t="s">
        <v>50</v>
      </c>
      <c r="C32" s="506" t="s">
        <v>51</v>
      </c>
      <c r="D32" s="507"/>
      <c r="E32" s="508"/>
      <c r="F32" s="355"/>
      <c r="G32" s="355">
        <v>4</v>
      </c>
      <c r="H32" s="359" t="str">
        <f>IF(I32="","",assumptions!A24)</f>
        <v/>
      </c>
      <c r="I32" s="373" t="str">
        <f>IF(assumptions!B24=0,"",assumptions!B24)</f>
        <v/>
      </c>
      <c r="J32" s="361" t="str">
        <f t="shared" si="1"/>
        <v/>
      </c>
      <c r="K32" s="360"/>
      <c r="L32" s="355">
        <v>4</v>
      </c>
      <c r="M32" s="359" t="str">
        <f>assumptions!A71</f>
        <v>VHFA Equity Bridge Loan</v>
      </c>
      <c r="N32" s="373">
        <f>assumptions!B71</f>
        <v>0</v>
      </c>
      <c r="O32" s="361" t="str">
        <f t="shared" si="2"/>
        <v/>
      </c>
      <c r="P32" s="362"/>
    </row>
    <row r="33" spans="2:16" ht="18">
      <c r="B33" s="355"/>
      <c r="C33" s="355"/>
      <c r="D33" s="355"/>
      <c r="E33" s="355"/>
      <c r="F33" s="355"/>
      <c r="G33" s="355">
        <v>5</v>
      </c>
      <c r="H33" s="359" t="str">
        <f>IF(I33="","",assumptions!A25)</f>
        <v/>
      </c>
      <c r="I33" s="373" t="str">
        <f>IF(assumptions!B25=0,"",assumptions!B25)</f>
        <v/>
      </c>
      <c r="J33" s="361" t="str">
        <f t="shared" si="1"/>
        <v/>
      </c>
      <c r="K33" s="360"/>
      <c r="L33" s="355">
        <v>5</v>
      </c>
      <c r="M33" s="359"/>
      <c r="N33" s="373"/>
      <c r="O33" s="361" t="str">
        <f t="shared" si="2"/>
        <v/>
      </c>
      <c r="P33" s="362"/>
    </row>
    <row r="34" spans="2:16" ht="18">
      <c r="B34" s="355" t="s">
        <v>52</v>
      </c>
      <c r="C34" s="374">
        <f>SUM(C41:C45)</f>
        <v>1</v>
      </c>
      <c r="D34" s="355"/>
      <c r="E34" s="375" t="s">
        <v>53</v>
      </c>
      <c r="F34" s="355"/>
      <c r="G34" s="355">
        <v>6</v>
      </c>
      <c r="H34" s="359" t="str">
        <f>IF(I34="","",assumptions!A26)</f>
        <v/>
      </c>
      <c r="I34" s="373" t="str">
        <f>IF(assumptions!B26=0,"",assumptions!B26)</f>
        <v/>
      </c>
      <c r="J34" s="361" t="str">
        <f t="shared" si="1"/>
        <v/>
      </c>
      <c r="K34" s="360"/>
      <c r="L34" s="355">
        <v>6</v>
      </c>
      <c r="M34" s="359"/>
      <c r="N34" s="373"/>
      <c r="O34" s="361" t="str">
        <f t="shared" si="2"/>
        <v/>
      </c>
      <c r="P34" s="362"/>
    </row>
    <row r="35" spans="2:16" ht="18">
      <c r="B35" s="355" t="s">
        <v>54</v>
      </c>
      <c r="C35" s="376">
        <f>IF(SUM('BP-Rental Income v2'!H:H)=0, 100000, SUM('BP-Rental Income v2'!H:H))</f>
        <v>100000</v>
      </c>
      <c r="D35" s="355"/>
      <c r="E35" s="355"/>
      <c r="F35" s="355"/>
      <c r="G35" s="355">
        <v>7</v>
      </c>
      <c r="H35" s="359" t="str">
        <f>IF(I35="","",assumptions!A27)</f>
        <v/>
      </c>
      <c r="I35" s="373" t="str">
        <f>IF(assumptions!B27=0,"",assumptions!B27)</f>
        <v/>
      </c>
      <c r="J35" s="361" t="str">
        <f t="shared" si="1"/>
        <v/>
      </c>
      <c r="K35" s="360"/>
      <c r="L35" s="355">
        <v>7</v>
      </c>
      <c r="M35" s="359"/>
      <c r="N35" s="373"/>
      <c r="O35" s="361" t="str">
        <f t="shared" si="2"/>
        <v/>
      </c>
      <c r="P35" s="362"/>
    </row>
    <row r="36" spans="2:16" ht="18">
      <c r="B36" s="355" t="s">
        <v>55</v>
      </c>
      <c r="C36" s="369">
        <v>0</v>
      </c>
      <c r="D36" s="355"/>
      <c r="E36" s="355"/>
      <c r="F36" s="355"/>
      <c r="G36" s="355">
        <v>8</v>
      </c>
      <c r="H36" s="359" t="str">
        <f>IF(I36="","",assumptions!A28)</f>
        <v/>
      </c>
      <c r="I36" s="373" t="str">
        <f>IF(assumptions!B28=0,"",assumptions!B28)</f>
        <v/>
      </c>
      <c r="J36" s="361" t="str">
        <f t="shared" si="1"/>
        <v/>
      </c>
      <c r="K36" s="360"/>
      <c r="L36" s="355">
        <v>8</v>
      </c>
      <c r="M36" s="359"/>
      <c r="N36" s="373"/>
      <c r="O36" s="361" t="str">
        <f t="shared" si="2"/>
        <v/>
      </c>
      <c r="P36" s="362"/>
    </row>
    <row r="37" spans="2:16" ht="18">
      <c r="B37" s="355" t="s">
        <v>56</v>
      </c>
      <c r="C37" s="376">
        <f>SUM(C35:C36)</f>
        <v>100000</v>
      </c>
      <c r="D37" s="355"/>
      <c r="E37" s="375" t="s">
        <v>57</v>
      </c>
      <c r="F37" s="355"/>
      <c r="G37" s="355">
        <v>9</v>
      </c>
      <c r="H37" s="359" t="str">
        <f>IF(I37="","",assumptions!A29)</f>
        <v/>
      </c>
      <c r="I37" s="373" t="str">
        <f>IF(assumptions!B29=0,"",assumptions!B29)</f>
        <v/>
      </c>
      <c r="J37" s="361" t="str">
        <f t="shared" si="1"/>
        <v/>
      </c>
      <c r="K37" s="360"/>
      <c r="L37" s="355">
        <v>9</v>
      </c>
      <c r="M37" s="359"/>
      <c r="N37" s="373"/>
      <c r="O37" s="361" t="str">
        <f t="shared" si="2"/>
        <v/>
      </c>
      <c r="P37" s="362"/>
    </row>
    <row r="38" spans="2:16" ht="18">
      <c r="B38" s="355" t="s">
        <v>58</v>
      </c>
      <c r="C38" s="369">
        <v>0</v>
      </c>
      <c r="D38" s="355"/>
      <c r="E38" s="355"/>
      <c r="F38" s="355"/>
      <c r="G38" s="355">
        <v>10</v>
      </c>
      <c r="H38" s="359" t="str">
        <f>IF(I38="","",assumptions!A30)</f>
        <v/>
      </c>
      <c r="I38" s="373" t="str">
        <f>IF(assumptions!B30=0,"",assumptions!B30)</f>
        <v/>
      </c>
      <c r="J38" s="361" t="str">
        <f t="shared" si="1"/>
        <v/>
      </c>
      <c r="K38" s="360"/>
      <c r="L38" s="355">
        <v>10</v>
      </c>
      <c r="M38" s="359"/>
      <c r="N38" s="373"/>
      <c r="O38" s="361" t="str">
        <f t="shared" si="2"/>
        <v/>
      </c>
      <c r="P38" s="362"/>
    </row>
    <row r="39" spans="2:16" ht="18">
      <c r="B39" s="355"/>
      <c r="C39" s="369"/>
      <c r="D39" s="355"/>
      <c r="E39" s="355"/>
      <c r="F39" s="355"/>
      <c r="G39" s="355">
        <v>11</v>
      </c>
      <c r="H39" s="359" t="str">
        <f>IF(I39="","",assumptions!A31)</f>
        <v/>
      </c>
      <c r="I39" s="373" t="str">
        <f>IF(assumptions!B31=0,"",assumptions!B31)</f>
        <v/>
      </c>
      <c r="J39" s="361" t="str">
        <f t="shared" si="1"/>
        <v/>
      </c>
      <c r="K39" s="364"/>
      <c r="L39" s="355">
        <v>11</v>
      </c>
      <c r="M39" s="359"/>
      <c r="N39" s="373"/>
      <c r="O39" s="361" t="str">
        <f t="shared" si="2"/>
        <v/>
      </c>
      <c r="P39" s="362"/>
    </row>
    <row r="40" spans="2:16" ht="18">
      <c r="B40" s="355" t="s">
        <v>59</v>
      </c>
      <c r="C40" s="369"/>
      <c r="D40" s="355"/>
      <c r="E40" s="355"/>
      <c r="F40" s="355"/>
      <c r="G40" s="355">
        <v>12</v>
      </c>
      <c r="H40" s="359" t="str">
        <f>IF(I40="","",assumptions!A32)</f>
        <v/>
      </c>
      <c r="I40" s="373" t="str">
        <f>IF(assumptions!B32=0,"",assumptions!B32)</f>
        <v/>
      </c>
      <c r="J40" s="361" t="str">
        <f t="shared" si="1"/>
        <v/>
      </c>
      <c r="K40" s="364"/>
      <c r="L40" s="355">
        <v>12</v>
      </c>
      <c r="M40" s="359"/>
      <c r="N40" s="373"/>
      <c r="O40" s="361" t="str">
        <f t="shared" si="2"/>
        <v/>
      </c>
      <c r="P40" s="362"/>
    </row>
    <row r="41" spans="2:16" ht="18">
      <c r="B41" s="355" t="s">
        <v>60</v>
      </c>
      <c r="C41" s="377">
        <f>SUMIF('BP-Rental Income v2'!U:U,0,'BP-Rental Income v2'!V:V)</f>
        <v>1</v>
      </c>
      <c r="D41" s="355"/>
      <c r="E41" s="355"/>
      <c r="F41" s="355"/>
      <c r="G41" s="355">
        <v>13</v>
      </c>
      <c r="H41" s="359" t="str">
        <f>IF(I41="","",assumptions!A33)</f>
        <v/>
      </c>
      <c r="I41" s="373" t="str">
        <f>IF(assumptions!B33=0,"",assumptions!B33)</f>
        <v/>
      </c>
      <c r="J41" s="361" t="str">
        <f t="shared" si="1"/>
        <v/>
      </c>
      <c r="K41" s="364"/>
      <c r="L41" s="355">
        <v>13</v>
      </c>
      <c r="M41" s="359"/>
      <c r="N41" s="373"/>
      <c r="O41" s="361" t="str">
        <f t="shared" si="2"/>
        <v/>
      </c>
      <c r="P41" s="362"/>
    </row>
    <row r="42" spans="2:16" ht="18">
      <c r="B42" s="355" t="s">
        <v>61</v>
      </c>
      <c r="C42" s="377">
        <f>SUMIF('BP-Rental Income v2'!U:U,1,'BP-Rental Income v2'!V:V)</f>
        <v>0</v>
      </c>
      <c r="D42" s="355"/>
      <c r="E42" s="355"/>
      <c r="F42" s="355"/>
      <c r="G42" s="355">
        <v>14</v>
      </c>
      <c r="H42" s="359" t="str">
        <f>IF(I42="","",assumptions!A34)</f>
        <v/>
      </c>
      <c r="I42" s="373" t="str">
        <f>IF(assumptions!B34=0,"",assumptions!B34)</f>
        <v/>
      </c>
      <c r="J42" s="361" t="str">
        <f t="shared" si="1"/>
        <v/>
      </c>
      <c r="K42" s="364"/>
      <c r="L42" s="355">
        <v>14</v>
      </c>
      <c r="M42" s="359"/>
      <c r="N42" s="373"/>
      <c r="O42" s="361" t="str">
        <f t="shared" si="2"/>
        <v/>
      </c>
      <c r="P42" s="362"/>
    </row>
    <row r="43" spans="2:16" ht="18">
      <c r="B43" s="355" t="s">
        <v>62</v>
      </c>
      <c r="C43" s="377">
        <f>SUMIF('BP-Rental Income v2'!U:U,2,'BP-Rental Income v2'!V:V)</f>
        <v>0</v>
      </c>
      <c r="D43" s="355"/>
      <c r="E43" s="355"/>
      <c r="F43" s="355"/>
      <c r="G43" s="355">
        <v>15</v>
      </c>
      <c r="H43" s="359" t="str">
        <f>IF(I43="","",assumptions!A35)</f>
        <v/>
      </c>
      <c r="I43" s="373" t="str">
        <f>IF(assumptions!B35=0,"",assumptions!B35)</f>
        <v/>
      </c>
      <c r="J43" s="361" t="str">
        <f t="shared" si="1"/>
        <v/>
      </c>
      <c r="K43" s="364"/>
      <c r="L43" s="355">
        <v>15</v>
      </c>
      <c r="M43" s="359"/>
      <c r="N43" s="373"/>
      <c r="O43" s="361" t="str">
        <f t="shared" si="2"/>
        <v/>
      </c>
      <c r="P43" s="362"/>
    </row>
    <row r="44" spans="2:16" ht="18">
      <c r="B44" s="355" t="s">
        <v>63</v>
      </c>
      <c r="C44" s="377">
        <f>SUMIF('BP-Rental Income v2'!U:U,3,'BP-Rental Income v2'!V:V)</f>
        <v>0</v>
      </c>
      <c r="D44" s="355"/>
      <c r="E44" s="355"/>
      <c r="F44" s="355"/>
      <c r="G44" s="355">
        <v>16</v>
      </c>
      <c r="H44" s="359" t="str">
        <f>IF(I44="","",assumptions!A36)</f>
        <v/>
      </c>
      <c r="I44" s="373" t="str">
        <f>IF(assumptions!B36=0,"",assumptions!B36)</f>
        <v/>
      </c>
      <c r="J44" s="361" t="str">
        <f t="shared" si="1"/>
        <v/>
      </c>
      <c r="K44" s="364"/>
      <c r="L44" s="355">
        <v>16</v>
      </c>
      <c r="M44" s="359"/>
      <c r="N44" s="373"/>
      <c r="O44" s="361" t="str">
        <f t="shared" si="2"/>
        <v/>
      </c>
      <c r="P44" s="362"/>
    </row>
    <row r="45" spans="2:16" ht="18">
      <c r="B45" s="355" t="s">
        <v>64</v>
      </c>
      <c r="C45" s="377">
        <f>SUMIF('BP-Rental Income v2'!U:U,4,'BP-Rental Income v2'!V:V)</f>
        <v>0</v>
      </c>
      <c r="D45" s="355"/>
      <c r="E45" s="355"/>
      <c r="F45" s="355"/>
      <c r="G45" s="355">
        <v>17</v>
      </c>
      <c r="H45" s="359" t="str">
        <f>IF(I45="","",assumptions!A37)</f>
        <v/>
      </c>
      <c r="I45" s="373" t="str">
        <f>IF(assumptions!B37=0,"",assumptions!B37)</f>
        <v/>
      </c>
      <c r="J45" s="361" t="str">
        <f t="shared" si="1"/>
        <v/>
      </c>
      <c r="K45" s="364"/>
      <c r="L45" s="355">
        <v>17</v>
      </c>
      <c r="M45" s="359"/>
      <c r="N45" s="373"/>
      <c r="O45" s="361" t="str">
        <f t="shared" si="2"/>
        <v/>
      </c>
      <c r="P45" s="362"/>
    </row>
    <row r="46" spans="2:16" ht="18">
      <c r="B46" s="355"/>
      <c r="C46" s="369"/>
      <c r="D46" s="355"/>
      <c r="E46" s="355"/>
      <c r="F46" s="355"/>
      <c r="G46" s="355">
        <v>18</v>
      </c>
      <c r="H46" s="359" t="str">
        <f>IF(I46="","",assumptions!A38)</f>
        <v/>
      </c>
      <c r="I46" s="373" t="str">
        <f>IF(assumptions!B38=0,"",assumptions!B38)</f>
        <v/>
      </c>
      <c r="J46" s="361" t="str">
        <f t="shared" si="1"/>
        <v/>
      </c>
      <c r="K46" s="364"/>
      <c r="L46" s="355">
        <v>18</v>
      </c>
      <c r="M46" s="359"/>
      <c r="N46" s="373"/>
      <c r="O46" s="361" t="str">
        <f t="shared" si="2"/>
        <v/>
      </c>
      <c r="P46" s="362"/>
    </row>
    <row r="47" spans="2:16" ht="18">
      <c r="B47" s="355"/>
      <c r="C47" s="355"/>
      <c r="D47" s="355"/>
      <c r="E47" s="355"/>
      <c r="F47" s="355"/>
      <c r="G47" s="355">
        <v>19</v>
      </c>
      <c r="H47" s="359" t="str">
        <f>IF(I47="","",assumptions!A39)</f>
        <v/>
      </c>
      <c r="I47" s="373" t="str">
        <f>IF(assumptions!B39=0,"",assumptions!B39)</f>
        <v/>
      </c>
      <c r="J47" s="361" t="str">
        <f t="shared" si="1"/>
        <v/>
      </c>
      <c r="K47" s="364"/>
      <c r="L47" s="355">
        <v>19</v>
      </c>
      <c r="M47" s="359"/>
      <c r="N47" s="373"/>
      <c r="O47" s="361" t="str">
        <f t="shared" si="2"/>
        <v/>
      </c>
      <c r="P47" s="362"/>
    </row>
    <row r="48" spans="2:16" ht="18">
      <c r="B48" s="355"/>
      <c r="C48" s="355"/>
      <c r="D48" s="355"/>
      <c r="E48" s="355"/>
      <c r="F48" s="355"/>
      <c r="G48" s="355">
        <v>20</v>
      </c>
      <c r="H48" s="359" t="str">
        <f>IF(I48="","",assumptions!A40)</f>
        <v/>
      </c>
      <c r="I48" s="373" t="str">
        <f>IF(assumptions!B40=0,"",assumptions!B40)</f>
        <v/>
      </c>
      <c r="J48" s="361" t="str">
        <f t="shared" si="1"/>
        <v/>
      </c>
      <c r="K48" s="364"/>
      <c r="L48" s="355">
        <v>20</v>
      </c>
      <c r="M48" s="359"/>
      <c r="N48" s="373"/>
      <c r="O48" s="361" t="str">
        <f t="shared" si="2"/>
        <v/>
      </c>
      <c r="P48" s="362"/>
    </row>
    <row r="49" spans="2:16" ht="18">
      <c r="B49" s="355"/>
      <c r="C49" s="355"/>
      <c r="D49" s="355"/>
      <c r="E49" s="355"/>
      <c r="F49" s="355"/>
      <c r="G49" s="355">
        <v>21</v>
      </c>
      <c r="H49" s="359" t="str">
        <f>IF(I49="","",assumptions!A41)</f>
        <v/>
      </c>
      <c r="I49" s="373" t="str">
        <f>IF(assumptions!B41=0,"",assumptions!B41)</f>
        <v/>
      </c>
      <c r="J49" s="361" t="str">
        <f t="shared" si="1"/>
        <v/>
      </c>
      <c r="K49" s="364"/>
      <c r="L49" s="355">
        <v>21</v>
      </c>
      <c r="M49" s="359"/>
      <c r="N49" s="373"/>
      <c r="O49" s="361" t="str">
        <f t="shared" si="2"/>
        <v/>
      </c>
      <c r="P49" s="362"/>
    </row>
    <row r="50" spans="2:16" ht="18">
      <c r="B50" s="355"/>
      <c r="C50" s="355"/>
      <c r="D50" s="355"/>
      <c r="E50" s="355"/>
      <c r="F50" s="355"/>
      <c r="G50" s="355">
        <v>22</v>
      </c>
      <c r="H50" s="359" t="str">
        <f>IF(I50="","",assumptions!A42)</f>
        <v/>
      </c>
      <c r="I50" s="373" t="str">
        <f>IF(assumptions!B42=0,"",assumptions!B42)</f>
        <v/>
      </c>
      <c r="J50" s="361" t="str">
        <f t="shared" si="1"/>
        <v/>
      </c>
      <c r="K50" s="364"/>
      <c r="L50" s="355">
        <v>22</v>
      </c>
      <c r="M50" s="359"/>
      <c r="N50" s="373"/>
      <c r="O50" s="361" t="str">
        <f t="shared" si="2"/>
        <v/>
      </c>
      <c r="P50" s="362"/>
    </row>
    <row r="51" spans="2:16" ht="18">
      <c r="B51" s="355"/>
      <c r="C51" s="355"/>
      <c r="D51" s="355"/>
      <c r="E51" s="355"/>
      <c r="F51" s="355"/>
      <c r="G51" s="355">
        <v>23</v>
      </c>
      <c r="H51" s="359" t="str">
        <f>IF(I51="","",assumptions!A43)</f>
        <v/>
      </c>
      <c r="I51" s="373" t="str">
        <f>IF(assumptions!B43=0,"",assumptions!B43)</f>
        <v/>
      </c>
      <c r="J51" s="361" t="str">
        <f t="shared" si="1"/>
        <v/>
      </c>
      <c r="K51" s="364"/>
      <c r="L51" s="355">
        <v>23</v>
      </c>
      <c r="M51" s="359"/>
      <c r="N51" s="373"/>
      <c r="O51" s="361" t="str">
        <f t="shared" si="2"/>
        <v/>
      </c>
      <c r="P51" s="362"/>
    </row>
    <row r="52" spans="2:16" ht="18">
      <c r="B52" s="355"/>
      <c r="C52" s="355"/>
      <c r="D52" s="355"/>
      <c r="E52" s="355"/>
      <c r="F52" s="355"/>
      <c r="G52" s="355">
        <v>24</v>
      </c>
      <c r="H52" s="359" t="str">
        <f>IF(I52="","",assumptions!A44)</f>
        <v/>
      </c>
      <c r="I52" s="373" t="str">
        <f>IF(assumptions!B44=0,"",assumptions!B44)</f>
        <v/>
      </c>
      <c r="J52" s="361" t="str">
        <f t="shared" si="1"/>
        <v/>
      </c>
      <c r="K52" s="364"/>
      <c r="L52" s="355">
        <v>24</v>
      </c>
      <c r="M52" s="359"/>
      <c r="N52" s="373"/>
      <c r="O52" s="361" t="str">
        <f t="shared" si="2"/>
        <v/>
      </c>
      <c r="P52" s="362"/>
    </row>
    <row r="53" spans="2:16" ht="18">
      <c r="B53" s="355"/>
      <c r="C53" s="355"/>
      <c r="D53" s="355"/>
      <c r="E53" s="355"/>
      <c r="F53" s="355"/>
      <c r="G53" s="355">
        <v>25</v>
      </c>
      <c r="H53" s="359" t="str">
        <f>IF(I53="","",assumptions!A45)</f>
        <v/>
      </c>
      <c r="I53" s="373" t="str">
        <f>IF(assumptions!B45=0,"",assumptions!B45)</f>
        <v/>
      </c>
      <c r="J53" s="361" t="str">
        <f t="shared" si="1"/>
        <v/>
      </c>
      <c r="K53" s="364"/>
      <c r="L53" s="355">
        <v>25</v>
      </c>
      <c r="M53" s="359"/>
      <c r="N53" s="373"/>
      <c r="O53" s="361" t="str">
        <f t="shared" si="2"/>
        <v/>
      </c>
      <c r="P53" s="362"/>
    </row>
    <row r="54" spans="2:16" ht="18">
      <c r="B54" s="355"/>
      <c r="C54" s="355"/>
      <c r="D54" s="355"/>
      <c r="E54" s="355"/>
      <c r="F54" s="355"/>
      <c r="G54" s="355">
        <v>26</v>
      </c>
      <c r="H54" s="359" t="str">
        <f>IF(I54="","",assumptions!A46)</f>
        <v/>
      </c>
      <c r="I54" s="373" t="str">
        <f>IF(assumptions!B46=0,"",assumptions!B46)</f>
        <v/>
      </c>
      <c r="J54" s="361" t="str">
        <f t="shared" si="1"/>
        <v/>
      </c>
      <c r="K54" s="364"/>
      <c r="L54" s="355">
        <v>26</v>
      </c>
      <c r="M54" s="359"/>
      <c r="N54" s="373"/>
      <c r="O54" s="361" t="str">
        <f t="shared" si="2"/>
        <v/>
      </c>
      <c r="P54" s="362"/>
    </row>
    <row r="55" spans="2:16" ht="18">
      <c r="B55" s="355"/>
      <c r="C55" s="355"/>
      <c r="D55" s="355"/>
      <c r="E55" s="355"/>
      <c r="F55" s="355"/>
      <c r="G55" s="355">
        <v>27</v>
      </c>
      <c r="H55" s="359" t="str">
        <f>IF(I55="","",assumptions!A47)</f>
        <v/>
      </c>
      <c r="I55" s="373" t="str">
        <f>IF(assumptions!B47=0,"",assumptions!B47)</f>
        <v/>
      </c>
      <c r="J55" s="361" t="str">
        <f t="shared" si="1"/>
        <v/>
      </c>
      <c r="K55" s="364"/>
      <c r="L55" s="355">
        <v>27</v>
      </c>
      <c r="M55" s="359"/>
      <c r="N55" s="373"/>
      <c r="O55" s="361" t="str">
        <f t="shared" si="2"/>
        <v/>
      </c>
      <c r="P55" s="362"/>
    </row>
    <row r="56" spans="2:16" ht="18">
      <c r="B56" s="355"/>
      <c r="C56" s="355"/>
      <c r="D56" s="355"/>
      <c r="E56" s="355"/>
      <c r="F56" s="355"/>
      <c r="G56" s="355">
        <v>28</v>
      </c>
      <c r="H56" s="359" t="str">
        <f>IF(I56="","",assumptions!A48)</f>
        <v/>
      </c>
      <c r="I56" s="373" t="str">
        <f>IF(assumptions!B48=0,"",assumptions!B48)</f>
        <v/>
      </c>
      <c r="J56" s="361" t="str">
        <f t="shared" si="1"/>
        <v/>
      </c>
      <c r="K56" s="364"/>
      <c r="L56" s="355">
        <v>28</v>
      </c>
      <c r="M56" s="359"/>
      <c r="N56" s="373"/>
      <c r="O56" s="361" t="str">
        <f t="shared" si="2"/>
        <v/>
      </c>
      <c r="P56" s="362"/>
    </row>
    <row r="57" spans="2:16" ht="18">
      <c r="B57" s="355"/>
      <c r="C57" s="355"/>
      <c r="D57" s="355"/>
      <c r="E57" s="355"/>
      <c r="F57" s="355"/>
      <c r="G57" s="355">
        <v>29</v>
      </c>
      <c r="H57" s="359" t="str">
        <f>IF(I57="","",assumptions!A49)</f>
        <v/>
      </c>
      <c r="I57" s="373" t="str">
        <f>IF(assumptions!B49=0,"",assumptions!B49)</f>
        <v/>
      </c>
      <c r="J57" s="361" t="str">
        <f t="shared" si="1"/>
        <v/>
      </c>
      <c r="K57" s="364"/>
      <c r="L57" s="355">
        <v>29</v>
      </c>
      <c r="M57" s="359"/>
      <c r="N57" s="373"/>
      <c r="O57" s="361" t="str">
        <f t="shared" si="2"/>
        <v/>
      </c>
      <c r="P57" s="362"/>
    </row>
    <row r="58" spans="2:16" ht="18">
      <c r="B58" s="355"/>
      <c r="C58" s="355"/>
      <c r="D58" s="355"/>
      <c r="E58" s="355"/>
      <c r="F58" s="355"/>
      <c r="G58" s="355">
        <v>30</v>
      </c>
      <c r="H58" s="359" t="str">
        <f>IF(I58="","",assumptions!A50)</f>
        <v/>
      </c>
      <c r="I58" s="373" t="str">
        <f>IF(assumptions!B50=0,"",assumptions!B50)</f>
        <v/>
      </c>
      <c r="J58" s="361" t="str">
        <f t="shared" si="1"/>
        <v/>
      </c>
      <c r="K58" s="364"/>
      <c r="L58" s="355">
        <v>30</v>
      </c>
      <c r="M58" s="359"/>
      <c r="N58" s="373"/>
      <c r="O58" s="361" t="str">
        <f t="shared" si="2"/>
        <v/>
      </c>
      <c r="P58" s="362"/>
    </row>
    <row r="59" spans="2:16" ht="18">
      <c r="B59" s="355"/>
      <c r="C59" s="355"/>
      <c r="D59" s="355"/>
      <c r="E59" s="355"/>
      <c r="F59" s="355"/>
      <c r="G59" s="355">
        <v>31</v>
      </c>
      <c r="H59" s="359" t="str">
        <f>IF(I59="","",assumptions!A51)</f>
        <v/>
      </c>
      <c r="I59" s="373" t="str">
        <f>IF(assumptions!B51=0,"",assumptions!B51)</f>
        <v/>
      </c>
      <c r="J59" s="361" t="str">
        <f t="shared" ref="J59:J65" si="3">IFERROR(I59/$I$66,"")</f>
        <v/>
      </c>
      <c r="K59" s="364"/>
      <c r="L59" s="355">
        <v>31</v>
      </c>
      <c r="M59" s="359"/>
      <c r="N59" s="373"/>
      <c r="O59" s="361" t="str">
        <f t="shared" ref="O59:O65" si="4">IFERROR(N59/$N$66,"")</f>
        <v/>
      </c>
      <c r="P59" s="362"/>
    </row>
    <row r="60" spans="2:16" ht="18">
      <c r="B60" s="355"/>
      <c r="C60" s="355"/>
      <c r="D60" s="355"/>
      <c r="E60" s="355"/>
      <c r="F60" s="355"/>
      <c r="G60" s="355">
        <v>32</v>
      </c>
      <c r="H60" s="359" t="str">
        <f>IF(I60="","",assumptions!A52)</f>
        <v/>
      </c>
      <c r="I60" s="373" t="str">
        <f>IF(assumptions!B52=0,"",assumptions!B52)</f>
        <v/>
      </c>
      <c r="J60" s="361" t="str">
        <f t="shared" si="3"/>
        <v/>
      </c>
      <c r="K60" s="364"/>
      <c r="L60" s="355">
        <v>32</v>
      </c>
      <c r="M60" s="359"/>
      <c r="N60" s="373"/>
      <c r="O60" s="361" t="str">
        <f t="shared" si="4"/>
        <v/>
      </c>
      <c r="P60" s="362"/>
    </row>
    <row r="61" spans="2:16" ht="18">
      <c r="B61" s="355"/>
      <c r="C61" s="355"/>
      <c r="D61" s="355"/>
      <c r="E61" s="355"/>
      <c r="F61" s="355"/>
      <c r="G61" s="355">
        <v>33</v>
      </c>
      <c r="H61" s="359" t="str">
        <f>IF(I61="","",assumptions!A53)</f>
        <v/>
      </c>
      <c r="I61" s="373" t="str">
        <f>IF(assumptions!B53=0,"",assumptions!B53)</f>
        <v/>
      </c>
      <c r="J61" s="361" t="str">
        <f t="shared" si="3"/>
        <v/>
      </c>
      <c r="K61" s="364"/>
      <c r="L61" s="355">
        <v>33</v>
      </c>
      <c r="M61" s="359"/>
      <c r="N61" s="373"/>
      <c r="O61" s="361" t="str">
        <f t="shared" si="4"/>
        <v/>
      </c>
      <c r="P61" s="362"/>
    </row>
    <row r="62" spans="2:16" ht="18">
      <c r="B62" s="355"/>
      <c r="C62" s="355"/>
      <c r="D62" s="355"/>
      <c r="E62" s="355"/>
      <c r="F62" s="355"/>
      <c r="G62" s="355">
        <v>34</v>
      </c>
      <c r="H62" s="359" t="str">
        <f>IF(I62="","",assumptions!A54)</f>
        <v/>
      </c>
      <c r="I62" s="373" t="str">
        <f>IF(assumptions!B54=0,"",assumptions!B54)</f>
        <v/>
      </c>
      <c r="J62" s="361" t="str">
        <f t="shared" si="3"/>
        <v/>
      </c>
      <c r="K62" s="364"/>
      <c r="L62" s="355">
        <v>34</v>
      </c>
      <c r="M62" s="359"/>
      <c r="N62" s="373"/>
      <c r="O62" s="361" t="str">
        <f t="shared" si="4"/>
        <v/>
      </c>
      <c r="P62" s="362"/>
    </row>
    <row r="63" spans="2:16" ht="18">
      <c r="B63" s="355"/>
      <c r="C63" s="355"/>
      <c r="D63" s="355"/>
      <c r="E63" s="355"/>
      <c r="F63" s="355"/>
      <c r="G63" s="355">
        <v>35</v>
      </c>
      <c r="H63" s="359" t="str">
        <f>IF(I63="","",assumptions!A55)</f>
        <v/>
      </c>
      <c r="I63" s="373" t="str">
        <f>IF(assumptions!B55=0,"",assumptions!B55)</f>
        <v/>
      </c>
      <c r="J63" s="361" t="str">
        <f t="shared" si="3"/>
        <v/>
      </c>
      <c r="K63" s="364"/>
      <c r="L63" s="355">
        <v>35</v>
      </c>
      <c r="M63" s="359"/>
      <c r="N63" s="373"/>
      <c r="O63" s="361" t="str">
        <f t="shared" si="4"/>
        <v/>
      </c>
      <c r="P63" s="362"/>
    </row>
    <row r="64" spans="2:16" ht="18">
      <c r="B64" s="355"/>
      <c r="C64" s="355"/>
      <c r="D64" s="355"/>
      <c r="E64" s="355"/>
      <c r="F64" s="355"/>
      <c r="G64" s="355">
        <v>36</v>
      </c>
      <c r="H64" s="359" t="str">
        <f>IF(I64="","",assumptions!A56)</f>
        <v/>
      </c>
      <c r="I64" s="373" t="str">
        <f>IF(assumptions!B56=0,"",assumptions!B56)</f>
        <v/>
      </c>
      <c r="J64" s="361" t="str">
        <f t="shared" si="3"/>
        <v/>
      </c>
      <c r="K64" s="364"/>
      <c r="L64" s="355">
        <v>36</v>
      </c>
      <c r="M64" s="359"/>
      <c r="N64" s="373"/>
      <c r="O64" s="361" t="str">
        <f t="shared" si="4"/>
        <v/>
      </c>
      <c r="P64" s="362"/>
    </row>
    <row r="65" spans="1:16" ht="18">
      <c r="B65" s="355"/>
      <c r="C65" s="355"/>
      <c r="D65" s="355"/>
      <c r="E65" s="355"/>
      <c r="F65" s="355"/>
      <c r="G65" s="355">
        <v>37</v>
      </c>
      <c r="H65" s="359" t="str">
        <f>IF(I65="","",assumptions!A57)</f>
        <v/>
      </c>
      <c r="I65" s="373" t="str">
        <f>IF(assumptions!B57=0,"",assumptions!B57)</f>
        <v/>
      </c>
      <c r="J65" s="361" t="str">
        <f t="shared" si="3"/>
        <v/>
      </c>
      <c r="K65" s="364"/>
      <c r="L65" s="355">
        <v>37</v>
      </c>
      <c r="M65" s="359"/>
      <c r="N65" s="373"/>
      <c r="O65" s="361" t="str">
        <f t="shared" si="4"/>
        <v/>
      </c>
      <c r="P65" s="362"/>
    </row>
    <row r="66" spans="1:16" ht="18">
      <c r="B66" s="355"/>
      <c r="C66" s="355"/>
      <c r="D66" s="355"/>
      <c r="E66" s="355"/>
      <c r="F66" s="355"/>
      <c r="G66" s="355"/>
      <c r="H66" s="356" t="s">
        <v>65</v>
      </c>
      <c r="I66" s="357">
        <f>SUM(I29:I65)</f>
        <v>0</v>
      </c>
      <c r="J66" s="361" t="str">
        <f t="shared" si="1"/>
        <v/>
      </c>
      <c r="K66" s="360"/>
      <c r="M66" s="356" t="s">
        <v>66</v>
      </c>
      <c r="N66" s="373">
        <f>SUM(N29:N65)</f>
        <v>0</v>
      </c>
      <c r="O66" s="361" t="str">
        <f t="shared" si="2"/>
        <v/>
      </c>
      <c r="P66" s="362"/>
    </row>
    <row r="67" spans="1:16" ht="18">
      <c r="B67" s="355" t="s">
        <v>67</v>
      </c>
      <c r="C67" s="355"/>
      <c r="D67" s="355"/>
      <c r="E67" s="355"/>
      <c r="F67" s="355"/>
      <c r="G67" s="355"/>
      <c r="K67" s="378" t="s">
        <v>68</v>
      </c>
      <c r="L67" s="362"/>
      <c r="M67" s="379"/>
      <c r="N67" s="380"/>
      <c r="O67" s="381"/>
      <c r="P67" s="362"/>
    </row>
    <row r="68" spans="1:16" ht="18">
      <c r="B68" s="355"/>
      <c r="C68" s="355"/>
      <c r="D68" s="355"/>
      <c r="E68" s="355"/>
      <c r="F68" s="355"/>
      <c r="G68" s="355"/>
      <c r="H68" s="363" t="s">
        <v>69</v>
      </c>
      <c r="I68" s="382"/>
      <c r="J68" s="355"/>
      <c r="K68" s="383" t="s">
        <v>70</v>
      </c>
      <c r="L68" s="384">
        <v>0</v>
      </c>
      <c r="M68" s="379"/>
      <c r="N68" s="380"/>
      <c r="O68" s="381"/>
      <c r="P68" s="362"/>
    </row>
    <row r="69" spans="1:16" ht="18">
      <c r="A69" s="352">
        <v>1</v>
      </c>
      <c r="B69" s="355" t="s">
        <v>71</v>
      </c>
      <c r="C69" s="369"/>
      <c r="D69" s="355"/>
      <c r="E69" s="355"/>
      <c r="F69" s="355"/>
      <c r="G69" s="355"/>
      <c r="K69" s="383" t="s">
        <v>72</v>
      </c>
      <c r="L69" s="385">
        <v>239639.66000000003</v>
      </c>
      <c r="M69" s="379"/>
      <c r="N69" s="380"/>
      <c r="O69" s="381"/>
      <c r="P69" s="362"/>
    </row>
    <row r="70" spans="1:16" ht="18">
      <c r="A70" s="352">
        <v>2</v>
      </c>
      <c r="B70" s="355" t="s">
        <v>73</v>
      </c>
      <c r="C70" s="369"/>
      <c r="D70" s="355"/>
      <c r="E70" s="355"/>
      <c r="F70" s="355"/>
      <c r="G70" s="355"/>
      <c r="H70" s="367" t="s">
        <v>74</v>
      </c>
      <c r="I70" s="368">
        <f>IFERROR(ROUND(I26/C35,2),"")</f>
        <v>0</v>
      </c>
      <c r="K70" s="383"/>
      <c r="L70" s="362"/>
      <c r="M70" s="386"/>
      <c r="N70" s="380"/>
      <c r="O70" s="381"/>
      <c r="P70" s="362"/>
    </row>
    <row r="71" spans="1:16" ht="18">
      <c r="A71" s="352">
        <v>3</v>
      </c>
      <c r="B71" s="355" t="s">
        <v>75</v>
      </c>
      <c r="C71" s="369"/>
      <c r="D71" s="355"/>
      <c r="E71" s="355"/>
      <c r="F71" s="355"/>
      <c r="G71" s="355"/>
      <c r="H71" s="367" t="s">
        <v>76</v>
      </c>
      <c r="I71" s="368">
        <f>IFERROR(ROUND((I7+I8)/C35,2),"")</f>
        <v>0</v>
      </c>
      <c r="K71" s="383"/>
      <c r="L71" s="362"/>
      <c r="M71" s="379"/>
      <c r="N71" s="380"/>
      <c r="O71" s="381"/>
      <c r="P71" s="362"/>
    </row>
    <row r="72" spans="1:16" ht="18">
      <c r="A72" s="352">
        <v>4</v>
      </c>
      <c r="B72" s="355" t="s">
        <v>77</v>
      </c>
      <c r="C72" s="369"/>
      <c r="D72" s="355"/>
      <c r="E72" s="355"/>
      <c r="F72" s="355"/>
      <c r="G72" s="355"/>
      <c r="H72" s="367" t="s">
        <v>78</v>
      </c>
      <c r="I72" s="368">
        <f>IFERROR(ROUND((I9+I10)/C35,2),"")</f>
        <v>0</v>
      </c>
      <c r="K72" s="383"/>
      <c r="L72" s="362"/>
      <c r="M72" s="387"/>
      <c r="N72" s="380"/>
      <c r="O72" s="381"/>
      <c r="P72" s="362"/>
    </row>
    <row r="73" spans="1:16" ht="18">
      <c r="A73" s="352">
        <v>5</v>
      </c>
      <c r="B73" s="355" t="s">
        <v>79</v>
      </c>
      <c r="C73" s="369"/>
      <c r="D73" s="355"/>
      <c r="E73" s="355"/>
      <c r="F73" s="355"/>
      <c r="G73" s="355"/>
      <c r="H73" s="367" t="s">
        <v>80</v>
      </c>
      <c r="I73" s="368">
        <f>I66</f>
        <v>0</v>
      </c>
      <c r="K73" s="383"/>
      <c r="L73" s="362"/>
      <c r="M73" s="379"/>
      <c r="N73" s="380"/>
      <c r="O73" s="381"/>
      <c r="P73" s="362"/>
    </row>
    <row r="74" spans="1:16" ht="18">
      <c r="A74" s="352">
        <v>6</v>
      </c>
      <c r="B74" s="355" t="s">
        <v>81</v>
      </c>
      <c r="C74" s="369"/>
      <c r="D74" s="355"/>
      <c r="E74" s="355"/>
      <c r="F74" s="355"/>
      <c r="G74" s="355"/>
      <c r="H74" s="367" t="s">
        <v>82</v>
      </c>
      <c r="I74" s="388"/>
      <c r="K74" s="383"/>
      <c r="L74" s="362"/>
      <c r="M74" s="379"/>
      <c r="N74" s="380"/>
      <c r="O74" s="381"/>
      <c r="P74" s="362"/>
    </row>
    <row r="75" spans="1:16" ht="18">
      <c r="A75" s="352">
        <v>7</v>
      </c>
      <c r="B75" s="355" t="s">
        <v>83</v>
      </c>
      <c r="C75" s="369"/>
      <c r="D75" s="355"/>
      <c r="E75" s="355"/>
      <c r="F75" s="355"/>
      <c r="G75" s="355"/>
      <c r="H75" s="367" t="s">
        <v>84</v>
      </c>
      <c r="I75" s="388"/>
      <c r="K75" s="383"/>
      <c r="L75" s="362"/>
      <c r="M75" s="379"/>
      <c r="N75" s="380"/>
      <c r="O75" s="381"/>
      <c r="P75" s="362"/>
    </row>
    <row r="76" spans="1:16" ht="18">
      <c r="A76" s="352">
        <v>8</v>
      </c>
      <c r="B76" s="355" t="s">
        <v>85</v>
      </c>
      <c r="C76" s="369"/>
      <c r="D76" s="355"/>
      <c r="E76" s="355"/>
      <c r="F76" s="355"/>
      <c r="G76" s="355"/>
      <c r="H76" s="367" t="s">
        <v>86</v>
      </c>
      <c r="I76" s="388"/>
      <c r="K76" s="383"/>
      <c r="L76" s="362"/>
      <c r="M76" s="379"/>
      <c r="N76" s="380"/>
      <c r="O76" s="381"/>
      <c r="P76" s="362"/>
    </row>
    <row r="77" spans="1:16" ht="18">
      <c r="A77" s="352">
        <v>9</v>
      </c>
      <c r="B77" s="355" t="s">
        <v>87</v>
      </c>
      <c r="C77" s="369"/>
      <c r="D77" s="355"/>
      <c r="E77" s="355"/>
      <c r="F77" s="355"/>
      <c r="G77" s="355"/>
      <c r="H77" s="367" t="s">
        <v>88</v>
      </c>
      <c r="I77" s="389"/>
      <c r="L77" s="362"/>
      <c r="M77" s="379"/>
      <c r="N77" s="380"/>
      <c r="O77" s="381"/>
      <c r="P77" s="362"/>
    </row>
    <row r="78" spans="1:16" ht="18">
      <c r="A78" s="352">
        <v>10</v>
      </c>
      <c r="B78" s="355"/>
      <c r="C78" s="369"/>
      <c r="D78" s="355"/>
      <c r="E78" s="355"/>
      <c r="F78" s="355"/>
      <c r="G78" s="355"/>
      <c r="H78" s="367" t="s">
        <v>89</v>
      </c>
      <c r="I78" s="357"/>
      <c r="J78" s="363"/>
      <c r="L78" s="362"/>
      <c r="M78" s="379"/>
      <c r="N78" s="380"/>
      <c r="O78" s="381"/>
      <c r="P78" s="362"/>
    </row>
    <row r="79" spans="1:16" ht="18">
      <c r="A79" s="352">
        <v>11</v>
      </c>
      <c r="B79" s="355"/>
      <c r="C79" s="369"/>
      <c r="D79" s="355"/>
      <c r="E79" s="355"/>
      <c r="F79" s="355"/>
      <c r="G79" s="355"/>
      <c r="H79" s="367" t="s">
        <v>90</v>
      </c>
      <c r="I79" s="357"/>
      <c r="M79" s="386"/>
      <c r="N79" s="380"/>
      <c r="O79" s="381"/>
      <c r="P79" s="362"/>
    </row>
    <row r="80" spans="1:16" ht="18">
      <c r="A80" s="352">
        <v>12</v>
      </c>
      <c r="B80" s="355"/>
      <c r="C80" s="369"/>
      <c r="D80" s="355"/>
      <c r="E80" s="355"/>
      <c r="F80" s="355"/>
      <c r="G80" s="355"/>
      <c r="H80" s="367" t="s">
        <v>91</v>
      </c>
      <c r="I80" s="390"/>
      <c r="L80" s="362"/>
      <c r="M80" s="362"/>
      <c r="N80" s="370"/>
      <c r="O80" s="391"/>
      <c r="P80" s="362"/>
    </row>
    <row r="81" spans="1:16" ht="18">
      <c r="A81" s="352">
        <v>13</v>
      </c>
      <c r="B81" s="355"/>
      <c r="C81" s="369"/>
      <c r="D81" s="355"/>
      <c r="E81" s="355"/>
      <c r="F81" s="355"/>
      <c r="G81" s="355"/>
      <c r="H81" s="367" t="s">
        <v>92</v>
      </c>
      <c r="I81" s="390"/>
      <c r="L81" s="362"/>
      <c r="M81" s="362"/>
      <c r="N81" s="392"/>
      <c r="O81" s="362"/>
      <c r="P81" s="362"/>
    </row>
    <row r="82" spans="1:16" ht="18">
      <c r="A82" s="352">
        <v>14</v>
      </c>
      <c r="B82" s="355"/>
      <c r="C82" s="369"/>
      <c r="D82" s="355"/>
      <c r="E82" s="355"/>
      <c r="F82" s="355"/>
      <c r="G82" s="355"/>
      <c r="H82" s="367" t="s">
        <v>93</v>
      </c>
      <c r="I82" s="393">
        <f>I66</f>
        <v>0</v>
      </c>
      <c r="L82" s="362"/>
      <c r="M82" s="362"/>
      <c r="N82" s="370"/>
      <c r="O82" s="391"/>
      <c r="P82" s="362"/>
    </row>
    <row r="83" spans="1:16" ht="18">
      <c r="B83" s="355"/>
      <c r="C83" s="355"/>
      <c r="D83" s="355"/>
      <c r="E83" s="355"/>
      <c r="F83" s="355"/>
      <c r="G83" s="355"/>
      <c r="H83" s="367" t="s">
        <v>94</v>
      </c>
      <c r="I83" s="394" t="str">
        <f>IFERROR(ROUND('BP- Income Opex v2'!I23,2),"")</f>
        <v/>
      </c>
      <c r="L83" s="362"/>
      <c r="M83" s="395"/>
      <c r="N83" s="370"/>
      <c r="O83" s="391"/>
      <c r="P83" s="362"/>
    </row>
    <row r="84" spans="1:16" ht="18">
      <c r="B84" s="355" t="s">
        <v>95</v>
      </c>
      <c r="C84" s="369"/>
      <c r="D84" s="355"/>
      <c r="E84" s="375" t="s">
        <v>96</v>
      </c>
      <c r="F84" s="355"/>
      <c r="G84" s="355"/>
      <c r="H84" s="367" t="s">
        <v>97</v>
      </c>
      <c r="I84" s="368">
        <f>IFERROR('BP- Income Opex v2'!I21,"")</f>
        <v>0</v>
      </c>
      <c r="L84" s="362"/>
      <c r="M84" s="379"/>
      <c r="N84" s="380"/>
      <c r="O84" s="381"/>
      <c r="P84" s="362"/>
    </row>
    <row r="85" spans="1:16" ht="18">
      <c r="B85" s="355"/>
      <c r="C85" s="355"/>
      <c r="D85" s="355"/>
      <c r="E85" s="355"/>
      <c r="F85" s="355"/>
      <c r="G85" s="355"/>
      <c r="H85" s="367" t="s">
        <v>98</v>
      </c>
      <c r="I85" s="396"/>
      <c r="L85" s="362"/>
      <c r="M85" s="379"/>
      <c r="N85" s="380"/>
      <c r="O85" s="381"/>
      <c r="P85" s="362"/>
    </row>
    <row r="86" spans="1:16" ht="18">
      <c r="B86" s="355"/>
      <c r="C86" s="355"/>
      <c r="D86" s="355"/>
      <c r="E86" s="355"/>
      <c r="F86" s="355"/>
      <c r="G86" s="355"/>
      <c r="H86" s="367" t="s">
        <v>99</v>
      </c>
      <c r="I86" s="390"/>
      <c r="L86" s="362"/>
      <c r="M86" s="379"/>
      <c r="N86" s="380"/>
      <c r="O86" s="381"/>
      <c r="P86" s="362"/>
    </row>
    <row r="87" spans="1:16" ht="18">
      <c r="B87" s="355"/>
      <c r="C87" s="355"/>
      <c r="D87" s="355"/>
      <c r="E87" s="355"/>
      <c r="F87" s="355"/>
      <c r="G87" s="355"/>
      <c r="H87" s="367" t="s">
        <v>100</v>
      </c>
      <c r="I87" s="368">
        <f>IFERROR('BP- Income Opex v2'!I17,"")</f>
        <v>0</v>
      </c>
      <c r="M87" s="379"/>
      <c r="N87" s="380"/>
      <c r="O87" s="381"/>
      <c r="P87" s="362"/>
    </row>
    <row r="88" spans="1:16" ht="18">
      <c r="B88" s="355"/>
      <c r="C88" s="355"/>
      <c r="D88" s="355"/>
      <c r="E88" s="355"/>
      <c r="F88" s="355"/>
      <c r="G88" s="355"/>
      <c r="H88" s="367" t="s">
        <v>101</v>
      </c>
      <c r="I88" s="368">
        <f>IFERROR(I87/C35,"")</f>
        <v>0</v>
      </c>
      <c r="M88" s="379"/>
      <c r="N88" s="380"/>
      <c r="O88" s="381"/>
      <c r="P88" s="362"/>
    </row>
    <row r="89" spans="1:16" ht="18">
      <c r="B89" s="355"/>
      <c r="C89" s="355"/>
      <c r="D89" s="355"/>
      <c r="E89" s="355"/>
      <c r="F89" s="355"/>
      <c r="G89" s="355"/>
      <c r="H89" s="367" t="s">
        <v>102</v>
      </c>
      <c r="I89" s="368">
        <f>IFERROR(I87/C34,"")</f>
        <v>0</v>
      </c>
      <c r="J89" s="360"/>
      <c r="M89" s="379"/>
      <c r="N89" s="380"/>
      <c r="O89" s="381"/>
      <c r="P89" s="362"/>
    </row>
    <row r="90" spans="1:16" ht="18">
      <c r="J90" s="360"/>
      <c r="K90" s="360"/>
      <c r="M90" s="386"/>
      <c r="N90" s="380"/>
      <c r="O90" s="381"/>
      <c r="P90" s="362"/>
    </row>
    <row r="91" spans="1:16" ht="18">
      <c r="J91" s="397"/>
      <c r="K91" s="397"/>
      <c r="M91" s="398"/>
      <c r="N91" s="370"/>
      <c r="O91" s="391"/>
      <c r="P91" s="362"/>
    </row>
    <row r="92" spans="1:16" ht="18">
      <c r="B92" s="352" t="s">
        <v>103</v>
      </c>
      <c r="F92" s="352" t="s">
        <v>104</v>
      </c>
      <c r="H92" s="355" t="s">
        <v>39</v>
      </c>
      <c r="I92" s="353" t="s">
        <v>50</v>
      </c>
      <c r="K92" s="352" t="s">
        <v>105</v>
      </c>
      <c r="M92" s="352" t="s">
        <v>106</v>
      </c>
      <c r="N92" s="352" t="s">
        <v>107</v>
      </c>
      <c r="O92" s="370" t="s">
        <v>108</v>
      </c>
      <c r="P92" s="362"/>
    </row>
    <row r="93" spans="1:16" ht="15.6">
      <c r="B93" s="399" t="s">
        <v>109</v>
      </c>
      <c r="J93" s="362"/>
      <c r="K93" s="362" t="s">
        <v>110</v>
      </c>
      <c r="M93" s="400" t="s">
        <v>111</v>
      </c>
      <c r="N93" s="400" t="s">
        <v>112</v>
      </c>
      <c r="O93" s="370" t="s">
        <v>113</v>
      </c>
      <c r="P93" s="362"/>
    </row>
    <row r="94" spans="1:16" ht="18">
      <c r="B94" s="401" t="s">
        <v>114</v>
      </c>
      <c r="F94" s="352" t="s">
        <v>115</v>
      </c>
      <c r="H94" s="402" t="s">
        <v>116</v>
      </c>
      <c r="I94" s="353" t="s">
        <v>117</v>
      </c>
      <c r="J94" s="397"/>
      <c r="K94" s="362" t="s">
        <v>118</v>
      </c>
      <c r="M94" s="400" t="s">
        <v>111</v>
      </c>
      <c r="N94" s="400" t="s">
        <v>119</v>
      </c>
      <c r="O94" s="370" t="s">
        <v>120</v>
      </c>
      <c r="P94" s="362"/>
    </row>
    <row r="95" spans="1:16" ht="18">
      <c r="B95" s="403" t="s">
        <v>31</v>
      </c>
      <c r="F95" s="352" t="s">
        <v>121</v>
      </c>
      <c r="H95" s="402" t="s">
        <v>122</v>
      </c>
      <c r="I95" s="353" t="s">
        <v>51</v>
      </c>
      <c r="J95" s="397"/>
      <c r="K95" s="397"/>
      <c r="M95" s="400" t="s">
        <v>123</v>
      </c>
      <c r="N95" s="400" t="s">
        <v>124</v>
      </c>
      <c r="O95" s="370" t="s">
        <v>125</v>
      </c>
      <c r="P95" s="362"/>
    </row>
    <row r="96" spans="1:16" ht="18">
      <c r="B96" s="401" t="s">
        <v>126</v>
      </c>
      <c r="F96" s="352" t="s">
        <v>33</v>
      </c>
      <c r="H96" s="402" t="s">
        <v>127</v>
      </c>
      <c r="I96" s="353" t="s">
        <v>128</v>
      </c>
      <c r="J96" s="360"/>
      <c r="K96" s="360"/>
      <c r="M96" s="400" t="s">
        <v>123</v>
      </c>
      <c r="N96" s="400" t="s">
        <v>129</v>
      </c>
      <c r="O96" s="370" t="s">
        <v>130</v>
      </c>
      <c r="P96" s="362"/>
    </row>
    <row r="97" spans="2:16" ht="18">
      <c r="B97" s="404" t="s">
        <v>131</v>
      </c>
      <c r="F97" s="352" t="s">
        <v>132</v>
      </c>
      <c r="H97" s="402" t="s">
        <v>133</v>
      </c>
      <c r="I97" s="353" t="s">
        <v>134</v>
      </c>
      <c r="J97" s="397"/>
      <c r="K97" s="397"/>
      <c r="M97" s="400" t="s">
        <v>135</v>
      </c>
      <c r="N97" s="400" t="s">
        <v>135</v>
      </c>
      <c r="O97" s="370" t="s">
        <v>136</v>
      </c>
      <c r="P97" s="362"/>
    </row>
    <row r="98" spans="2:16" ht="18">
      <c r="F98" s="352" t="s">
        <v>137</v>
      </c>
      <c r="H98" s="402" t="s">
        <v>138</v>
      </c>
      <c r="I98" s="353" t="s">
        <v>139</v>
      </c>
      <c r="J98" s="397"/>
      <c r="K98" s="397"/>
      <c r="M98" s="400" t="s">
        <v>140</v>
      </c>
      <c r="N98" s="400" t="s">
        <v>141</v>
      </c>
      <c r="O98" s="370" t="s">
        <v>142</v>
      </c>
      <c r="P98" s="362"/>
    </row>
    <row r="99" spans="2:16" ht="18">
      <c r="F99" s="352" t="s">
        <v>143</v>
      </c>
      <c r="H99" s="402" t="s">
        <v>144</v>
      </c>
      <c r="J99" s="397"/>
      <c r="K99" s="397"/>
      <c r="M99" s="400" t="s">
        <v>140</v>
      </c>
      <c r="N99" s="400" t="s">
        <v>145</v>
      </c>
      <c r="O99" s="370" t="s">
        <v>146</v>
      </c>
      <c r="P99" s="362"/>
    </row>
    <row r="100" spans="2:16" ht="18">
      <c r="H100" s="402" t="s">
        <v>147</v>
      </c>
      <c r="J100" s="397"/>
      <c r="K100" s="397"/>
      <c r="M100" s="400" t="s">
        <v>140</v>
      </c>
      <c r="N100" s="400" t="s">
        <v>148</v>
      </c>
      <c r="O100" s="370" t="s">
        <v>149</v>
      </c>
      <c r="P100" s="362"/>
    </row>
    <row r="101" spans="2:16" ht="18">
      <c r="H101" s="402" t="s">
        <v>150</v>
      </c>
      <c r="J101" s="397"/>
      <c r="K101" s="397"/>
      <c r="M101" s="400" t="s">
        <v>140</v>
      </c>
      <c r="N101" s="400" t="s">
        <v>151</v>
      </c>
      <c r="O101" s="370" t="s">
        <v>152</v>
      </c>
      <c r="P101" s="362"/>
    </row>
    <row r="102" spans="2:16" ht="18">
      <c r="H102" s="402" t="s">
        <v>153</v>
      </c>
      <c r="J102" s="397"/>
      <c r="K102" s="397"/>
      <c r="M102" s="400" t="s">
        <v>28</v>
      </c>
      <c r="N102" s="400" t="s">
        <v>28</v>
      </c>
      <c r="O102" s="370" t="s">
        <v>154</v>
      </c>
      <c r="P102" s="362"/>
    </row>
    <row r="103" spans="2:16" ht="18">
      <c r="H103" s="402" t="s">
        <v>155</v>
      </c>
      <c r="J103" s="397"/>
      <c r="K103" s="397"/>
      <c r="M103" s="400" t="s">
        <v>156</v>
      </c>
      <c r="N103" s="400" t="s">
        <v>156</v>
      </c>
      <c r="O103" s="370" t="s">
        <v>157</v>
      </c>
      <c r="P103" s="362"/>
    </row>
    <row r="104" spans="2:16" ht="18">
      <c r="H104" s="402" t="s">
        <v>158</v>
      </c>
      <c r="J104" s="397"/>
      <c r="K104" s="397"/>
      <c r="M104" s="362"/>
      <c r="N104" s="370"/>
      <c r="O104" s="391"/>
      <c r="P104" s="362"/>
    </row>
    <row r="105" spans="2:16" ht="18">
      <c r="H105" s="402" t="s">
        <v>159</v>
      </c>
      <c r="J105" s="360"/>
      <c r="K105" s="360"/>
      <c r="M105" s="362"/>
      <c r="N105" s="370"/>
      <c r="O105" s="391"/>
      <c r="P105" s="362"/>
    </row>
    <row r="106" spans="2:16" ht="18">
      <c r="H106" s="402" t="s">
        <v>160</v>
      </c>
      <c r="J106" s="397"/>
      <c r="K106" s="397"/>
      <c r="M106" s="362"/>
      <c r="N106" s="370"/>
      <c r="O106" s="391"/>
      <c r="P106" s="362"/>
    </row>
    <row r="107" spans="2:16" ht="18">
      <c r="H107" s="402" t="s">
        <v>161</v>
      </c>
      <c r="J107" s="405"/>
      <c r="K107" s="405"/>
      <c r="M107" s="362"/>
      <c r="N107" s="370"/>
      <c r="O107" s="391"/>
      <c r="P107" s="362"/>
    </row>
    <row r="108" spans="2:16" ht="18">
      <c r="H108" s="402" t="s">
        <v>162</v>
      </c>
      <c r="J108" s="406"/>
      <c r="K108" s="406"/>
      <c r="M108" s="362"/>
      <c r="N108" s="370"/>
      <c r="O108" s="407"/>
      <c r="P108" s="362"/>
    </row>
    <row r="109" spans="2:16" ht="18">
      <c r="H109" s="402" t="s">
        <v>163</v>
      </c>
      <c r="J109" s="397"/>
      <c r="K109" s="397"/>
      <c r="M109" s="362"/>
      <c r="N109" s="370"/>
      <c r="O109" s="391"/>
      <c r="P109" s="362"/>
    </row>
    <row r="110" spans="2:16" ht="18">
      <c r="H110" s="402" t="s">
        <v>164</v>
      </c>
      <c r="J110" s="405"/>
      <c r="K110" s="405"/>
      <c r="M110" s="362"/>
      <c r="N110" s="370"/>
      <c r="O110" s="391"/>
      <c r="P110" s="362"/>
    </row>
    <row r="111" spans="2:16" ht="18">
      <c r="H111" s="402" t="s">
        <v>165</v>
      </c>
      <c r="J111" s="397"/>
      <c r="K111" s="397"/>
      <c r="M111" s="362"/>
      <c r="N111" s="370"/>
      <c r="O111" s="391"/>
      <c r="P111" s="362"/>
    </row>
    <row r="112" spans="2:16" ht="18">
      <c r="H112" s="402" t="s">
        <v>166</v>
      </c>
      <c r="J112" s="397"/>
      <c r="K112" s="397"/>
      <c r="M112" s="362"/>
      <c r="N112" s="370"/>
      <c r="O112" s="391"/>
      <c r="P112" s="362"/>
    </row>
    <row r="113" spans="8:16" ht="18">
      <c r="H113" s="402" t="s">
        <v>167</v>
      </c>
      <c r="J113" s="363"/>
      <c r="K113" s="363"/>
      <c r="M113" s="362"/>
      <c r="N113" s="370"/>
      <c r="O113" s="391"/>
      <c r="P113" s="362"/>
    </row>
    <row r="114" spans="8:16" ht="18">
      <c r="H114" s="402" t="s">
        <v>168</v>
      </c>
      <c r="J114" s="363"/>
      <c r="K114" s="363"/>
      <c r="M114" s="362"/>
      <c r="N114" s="370"/>
      <c r="O114" s="391"/>
      <c r="P114" s="362"/>
    </row>
    <row r="115" spans="8:16" ht="15.6">
      <c r="H115" s="402" t="s">
        <v>169</v>
      </c>
      <c r="M115" s="362"/>
      <c r="N115" s="370"/>
      <c r="O115" s="391"/>
      <c r="P115" s="362"/>
    </row>
    <row r="116" spans="8:16" ht="15.6">
      <c r="H116" s="402" t="s">
        <v>170</v>
      </c>
      <c r="M116" s="362"/>
      <c r="N116" s="370"/>
      <c r="O116" s="391"/>
      <c r="P116" s="362"/>
    </row>
    <row r="117" spans="8:16" ht="15.6">
      <c r="H117" s="402" t="s">
        <v>171</v>
      </c>
      <c r="M117" s="362"/>
      <c r="N117" s="370"/>
      <c r="O117" s="407"/>
      <c r="P117" s="362"/>
    </row>
    <row r="118" spans="8:16" ht="15.6">
      <c r="H118" s="402" t="s">
        <v>172</v>
      </c>
      <c r="M118" s="362"/>
      <c r="N118" s="370"/>
      <c r="O118" s="391"/>
      <c r="P118" s="362"/>
    </row>
    <row r="119" spans="8:16" ht="15.6">
      <c r="H119" s="402" t="s">
        <v>173</v>
      </c>
      <c r="M119" s="362"/>
      <c r="N119" s="370"/>
      <c r="O119" s="371"/>
    </row>
    <row r="120" spans="8:16" ht="15.6">
      <c r="H120" s="402" t="s">
        <v>174</v>
      </c>
      <c r="M120" s="362"/>
      <c r="N120" s="370"/>
      <c r="O120" s="408"/>
      <c r="P120" s="362"/>
    </row>
    <row r="121" spans="8:16" ht="15.6">
      <c r="H121" s="402" t="s">
        <v>175</v>
      </c>
      <c r="M121" s="362"/>
      <c r="N121" s="370"/>
      <c r="O121" s="391"/>
      <c r="P121" s="362"/>
    </row>
    <row r="122" spans="8:16" ht="15.6">
      <c r="H122" s="402" t="s">
        <v>176</v>
      </c>
      <c r="M122" s="362"/>
      <c r="N122" s="370"/>
      <c r="O122" s="371"/>
      <c r="P122" s="362"/>
    </row>
    <row r="123" spans="8:16" ht="15.6">
      <c r="H123" s="402" t="s">
        <v>177</v>
      </c>
      <c r="M123" s="362"/>
      <c r="N123" s="370"/>
      <c r="O123" s="391"/>
      <c r="P123" s="362"/>
    </row>
    <row r="124" spans="8:16" ht="15.6">
      <c r="H124" s="402" t="s">
        <v>178</v>
      </c>
      <c r="M124" s="362"/>
      <c r="N124" s="370"/>
      <c r="O124" s="391"/>
      <c r="P124" s="362"/>
    </row>
    <row r="125" spans="8:16" ht="15.6">
      <c r="H125" s="402" t="s">
        <v>40</v>
      </c>
      <c r="M125" s="362"/>
      <c r="N125" s="370"/>
      <c r="O125" s="391"/>
      <c r="P125" s="362"/>
    </row>
    <row r="126" spans="8:16" ht="15.6">
      <c r="H126" s="402" t="s">
        <v>179</v>
      </c>
      <c r="M126" s="362"/>
      <c r="N126" s="370"/>
      <c r="O126" s="391"/>
      <c r="P126" s="362"/>
    </row>
    <row r="127" spans="8:16" ht="15.6">
      <c r="H127" s="402" t="s">
        <v>180</v>
      </c>
      <c r="M127" s="362"/>
      <c r="N127" s="370"/>
      <c r="O127" s="391"/>
    </row>
    <row r="128" spans="8:16">
      <c r="H128" s="402" t="s">
        <v>181</v>
      </c>
    </row>
    <row r="129" spans="1:16">
      <c r="H129" s="402" t="s">
        <v>182</v>
      </c>
    </row>
    <row r="130" spans="1:16">
      <c r="H130" s="402" t="s">
        <v>183</v>
      </c>
    </row>
    <row r="131" spans="1:16">
      <c r="H131" s="402" t="s">
        <v>184</v>
      </c>
    </row>
    <row r="132" spans="1:16">
      <c r="H132" s="402" t="s">
        <v>185</v>
      </c>
    </row>
    <row r="133" spans="1:16">
      <c r="H133" s="402" t="s">
        <v>186</v>
      </c>
    </row>
    <row r="134" spans="1:16">
      <c r="H134" s="402" t="s">
        <v>187</v>
      </c>
    </row>
    <row r="135" spans="1:16">
      <c r="H135" s="402" t="s">
        <v>188</v>
      </c>
    </row>
    <row r="136" spans="1:16">
      <c r="H136" s="402" t="s">
        <v>189</v>
      </c>
    </row>
    <row r="137" spans="1:16">
      <c r="H137" s="402" t="s">
        <v>190</v>
      </c>
    </row>
    <row r="138" spans="1:16">
      <c r="H138" s="402" t="s">
        <v>191</v>
      </c>
    </row>
    <row r="139" spans="1:16">
      <c r="H139" s="402" t="s">
        <v>192</v>
      </c>
    </row>
    <row r="140" spans="1:16">
      <c r="H140" s="402" t="s">
        <v>193</v>
      </c>
    </row>
    <row r="141" spans="1:16" s="353" customFormat="1">
      <c r="A141" s="352"/>
      <c r="B141" s="352"/>
      <c r="C141" s="352"/>
      <c r="D141" s="352"/>
      <c r="E141" s="352"/>
      <c r="F141" s="352"/>
      <c r="G141" s="352"/>
      <c r="H141" s="402" t="s">
        <v>194</v>
      </c>
      <c r="J141" s="352"/>
      <c r="K141" s="352"/>
      <c r="L141" s="352"/>
      <c r="M141" s="352"/>
      <c r="O141" s="352"/>
      <c r="P141" s="352"/>
    </row>
    <row r="142" spans="1:16" s="353" customFormat="1">
      <c r="A142" s="352"/>
      <c r="B142" s="352"/>
      <c r="C142" s="352"/>
      <c r="D142" s="352"/>
      <c r="E142" s="352"/>
      <c r="F142" s="352"/>
      <c r="G142" s="352"/>
      <c r="H142" s="402" t="s">
        <v>195</v>
      </c>
      <c r="J142" s="352"/>
      <c r="K142" s="352"/>
      <c r="L142" s="352"/>
      <c r="M142" s="352"/>
      <c r="O142" s="352"/>
      <c r="P142" s="352"/>
    </row>
    <row r="143" spans="1:16" s="353" customFormat="1">
      <c r="A143" s="352"/>
      <c r="B143" s="352"/>
      <c r="C143" s="352"/>
      <c r="D143" s="352"/>
      <c r="E143" s="352"/>
      <c r="F143" s="352"/>
      <c r="G143" s="352"/>
      <c r="H143" s="402" t="s">
        <v>196</v>
      </c>
      <c r="J143" s="352"/>
      <c r="K143" s="352"/>
      <c r="L143" s="352"/>
      <c r="M143" s="352"/>
      <c r="O143" s="352"/>
      <c r="P143" s="352"/>
    </row>
    <row r="144" spans="1:16" s="353" customFormat="1">
      <c r="A144" s="352"/>
      <c r="B144" s="352"/>
      <c r="C144" s="352"/>
      <c r="D144" s="352"/>
      <c r="E144" s="352"/>
      <c r="F144" s="352"/>
      <c r="G144" s="352"/>
      <c r="H144" s="409"/>
      <c r="J144" s="352"/>
      <c r="K144" s="352"/>
      <c r="L144" s="352"/>
      <c r="M144" s="352"/>
      <c r="O144" s="352"/>
      <c r="P144" s="352"/>
    </row>
    <row r="145" spans="1:16" s="353" customFormat="1">
      <c r="A145" s="352"/>
      <c r="B145" s="352"/>
      <c r="C145" s="352"/>
      <c r="D145" s="352"/>
      <c r="E145" s="352"/>
      <c r="F145" s="352"/>
      <c r="G145" s="352"/>
      <c r="H145" s="402" t="s">
        <v>197</v>
      </c>
      <c r="J145" s="352"/>
      <c r="K145" s="352"/>
      <c r="L145" s="352"/>
      <c r="M145" s="352"/>
      <c r="O145" s="352"/>
      <c r="P145" s="352"/>
    </row>
    <row r="146" spans="1:16" s="353" customFormat="1">
      <c r="A146" s="352"/>
      <c r="B146" s="352"/>
      <c r="C146" s="352"/>
      <c r="D146" s="352"/>
      <c r="E146" s="352"/>
      <c r="F146" s="352"/>
      <c r="G146" s="352"/>
      <c r="H146" s="402" t="s">
        <v>198</v>
      </c>
      <c r="J146" s="352"/>
      <c r="K146" s="352"/>
      <c r="L146" s="352"/>
      <c r="M146" s="352"/>
      <c r="O146" s="352"/>
      <c r="P146" s="352"/>
    </row>
    <row r="147" spans="1:16" s="353" customFormat="1">
      <c r="A147" s="352"/>
      <c r="B147" s="352"/>
      <c r="C147" s="352"/>
      <c r="D147" s="352"/>
      <c r="E147" s="352"/>
      <c r="F147" s="352"/>
      <c r="G147" s="352"/>
      <c r="H147" s="402" t="s">
        <v>199</v>
      </c>
      <c r="J147" s="352"/>
      <c r="K147" s="352"/>
      <c r="L147" s="352"/>
      <c r="M147" s="352"/>
      <c r="O147" s="352"/>
      <c r="P147" s="352"/>
    </row>
    <row r="148" spans="1:16" s="353" customFormat="1">
      <c r="A148" s="352"/>
      <c r="B148" s="352"/>
      <c r="C148" s="352"/>
      <c r="D148" s="352"/>
      <c r="E148" s="352"/>
      <c r="F148" s="352"/>
      <c r="G148" s="352"/>
      <c r="H148" s="402" t="s">
        <v>200</v>
      </c>
      <c r="J148" s="352"/>
      <c r="K148" s="352"/>
      <c r="L148" s="352"/>
      <c r="M148" s="352"/>
      <c r="O148" s="352"/>
      <c r="P148" s="352"/>
    </row>
    <row r="149" spans="1:16" s="353" customFormat="1">
      <c r="A149" s="352"/>
      <c r="B149" s="352"/>
      <c r="C149" s="352"/>
      <c r="D149" s="352"/>
      <c r="E149" s="352"/>
      <c r="F149" s="352"/>
      <c r="G149" s="352"/>
      <c r="H149" s="402" t="s">
        <v>201</v>
      </c>
      <c r="J149" s="352"/>
      <c r="K149" s="352"/>
      <c r="L149" s="352"/>
      <c r="M149" s="352"/>
      <c r="O149" s="352"/>
      <c r="P149" s="352"/>
    </row>
    <row r="150" spans="1:16" s="353" customFormat="1">
      <c r="A150" s="352"/>
      <c r="B150" s="352"/>
      <c r="C150" s="352"/>
      <c r="D150" s="352"/>
      <c r="E150" s="352"/>
      <c r="F150" s="352"/>
      <c r="G150" s="352"/>
      <c r="H150" s="402" t="s">
        <v>202</v>
      </c>
      <c r="J150" s="352"/>
      <c r="K150" s="352"/>
      <c r="L150" s="352"/>
      <c r="M150" s="352"/>
      <c r="O150" s="352"/>
      <c r="P150" s="352"/>
    </row>
    <row r="151" spans="1:16" s="353" customFormat="1">
      <c r="A151" s="352"/>
      <c r="B151" s="352"/>
      <c r="C151" s="352"/>
      <c r="D151" s="352"/>
      <c r="E151" s="352"/>
      <c r="F151" s="352"/>
      <c r="G151" s="352"/>
      <c r="H151" s="402" t="s">
        <v>203</v>
      </c>
      <c r="J151" s="352"/>
      <c r="K151" s="352"/>
      <c r="L151" s="352"/>
      <c r="M151" s="352"/>
      <c r="O151" s="352"/>
      <c r="P151" s="352"/>
    </row>
    <row r="152" spans="1:16" s="353" customFormat="1">
      <c r="A152" s="352"/>
      <c r="B152" s="352"/>
      <c r="C152" s="352"/>
      <c r="D152" s="352"/>
      <c r="E152" s="352"/>
      <c r="F152" s="352"/>
      <c r="G152" s="352"/>
      <c r="H152" s="402" t="s">
        <v>204</v>
      </c>
      <c r="J152" s="352"/>
      <c r="K152" s="352"/>
      <c r="L152" s="352"/>
      <c r="M152" s="352"/>
      <c r="O152" s="352"/>
      <c r="P152" s="352"/>
    </row>
    <row r="153" spans="1:16" s="353" customFormat="1">
      <c r="A153" s="352"/>
      <c r="B153" s="352"/>
      <c r="C153" s="352"/>
      <c r="D153" s="352"/>
      <c r="E153" s="352"/>
      <c r="F153" s="352"/>
      <c r="G153" s="352"/>
      <c r="H153" s="402" t="s">
        <v>205</v>
      </c>
      <c r="J153" s="352"/>
      <c r="K153" s="352"/>
      <c r="L153" s="352"/>
      <c r="M153" s="352"/>
      <c r="O153" s="352"/>
      <c r="P153" s="352"/>
    </row>
    <row r="178" spans="1:16" s="353" customFormat="1">
      <c r="A178" s="352"/>
      <c r="B178" s="352"/>
      <c r="C178" s="352"/>
      <c r="D178" s="352"/>
      <c r="E178" s="352"/>
      <c r="F178" s="352"/>
      <c r="G178" s="352"/>
      <c r="H178" s="409"/>
      <c r="J178" s="352"/>
      <c r="K178" s="352"/>
      <c r="L178" s="352"/>
      <c r="M178" s="352"/>
      <c r="O178" s="352"/>
      <c r="P178" s="352"/>
    </row>
    <row r="179" spans="1:16" s="353" customFormat="1">
      <c r="A179" s="352"/>
      <c r="B179" s="352"/>
      <c r="C179" s="352"/>
      <c r="D179" s="352"/>
      <c r="E179" s="352"/>
      <c r="F179" s="352"/>
      <c r="G179" s="352"/>
      <c r="H179" s="410"/>
      <c r="J179" s="352"/>
      <c r="K179" s="352"/>
      <c r="L179" s="352"/>
      <c r="M179" s="352"/>
      <c r="O179" s="352"/>
      <c r="P179" s="352"/>
    </row>
    <row r="190" spans="1:16" s="353" customFormat="1" ht="24">
      <c r="A190" s="352"/>
      <c r="B190" s="352"/>
      <c r="C190" s="352"/>
      <c r="D190" s="352"/>
      <c r="E190" s="352"/>
      <c r="F190" s="352"/>
      <c r="G190" s="352"/>
      <c r="H190" s="411"/>
      <c r="J190" s="352"/>
      <c r="K190" s="352"/>
      <c r="L190" s="352"/>
      <c r="M190" s="352"/>
      <c r="O190" s="352"/>
      <c r="P190" s="352"/>
    </row>
  </sheetData>
  <mergeCells count="14">
    <mergeCell ref="C15:F15"/>
    <mergeCell ref="B3:I3"/>
    <mergeCell ref="C7:F7"/>
    <mergeCell ref="C9:F9"/>
    <mergeCell ref="C11:F11"/>
    <mergeCell ref="C13:F13"/>
    <mergeCell ref="C27:F27"/>
    <mergeCell ref="C32:E32"/>
    <mergeCell ref="C19:F19"/>
    <mergeCell ref="C22:F22"/>
    <mergeCell ref="C23:F23"/>
    <mergeCell ref="C24:F24"/>
    <mergeCell ref="C25:F25"/>
    <mergeCell ref="C26:F26"/>
  </mergeCells>
  <conditionalFormatting sqref="L69">
    <cfRule type="cellIs" dxfId="4" priority="1" operator="equal">
      <formula>0</formula>
    </cfRule>
  </conditionalFormatting>
  <dataValidations count="4">
    <dataValidation type="list" allowBlank="1" showInputMessage="1" showErrorMessage="1" sqref="C32" xr:uid="{190629C4-9D1F-1347-A09E-648659D5238F}">
      <formula1>$I$94:$I$98</formula1>
    </dataValidation>
    <dataValidation type="list" allowBlank="1" showInputMessage="1" showErrorMessage="1" sqref="C25:F25" xr:uid="{AE03068E-EAEB-0E47-BD51-56C9ECC41615}">
      <formula1>$H$94:$H$153</formula1>
    </dataValidation>
    <dataValidation type="list" allowBlank="1" showInputMessage="1" showErrorMessage="1" sqref="C15:F15" xr:uid="{F08815BD-4E28-5C44-9FC7-8A1FDC3F0AE4}">
      <formula1>$F$94:$F$99</formula1>
    </dataValidation>
    <dataValidation type="list" allowBlank="1" showInputMessage="1" showErrorMessage="1" sqref="C13:F13" xr:uid="{D9480DAA-5BA8-0149-9FF3-8E9075CADBF7}">
      <formula1>$B$94:$B$97</formula1>
    </dataValidation>
  </dataValidations>
  <pageMargins left="0.69930555555555596" right="0.69930555555555596" top="0.75" bottom="0.75" header="0.3" footer="0.3"/>
  <pageSetup scale="21"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B42A0-BAFF-4C52-BAEC-5D687B4F60B3}">
  <dimension ref="A1:F103"/>
  <sheetViews>
    <sheetView topLeftCell="A28" zoomScale="97" zoomScaleNormal="92" workbookViewId="0">
      <selection activeCell="U12" sqref="U12"/>
    </sheetView>
  </sheetViews>
  <sheetFormatPr defaultColWidth="8.1640625" defaultRowHeight="15.6"/>
  <cols>
    <col min="1" max="1" width="15.75" style="416" customWidth="1"/>
    <col min="2" max="2" width="27.25" style="416" bestFit="1" customWidth="1"/>
    <col min="3" max="3" width="34.58203125" style="416" bestFit="1" customWidth="1"/>
    <col min="4" max="4" width="7.4140625" style="416" bestFit="1" customWidth="1"/>
    <col min="5" max="5" width="32.4140625" style="421" customWidth="1"/>
    <col min="6" max="6" width="27.1640625" style="419" customWidth="1"/>
    <col min="7" max="7" width="8.1640625" style="420"/>
    <col min="8" max="8" width="16.58203125" style="420" customWidth="1"/>
    <col min="9" max="16384" width="8.1640625" style="420"/>
  </cols>
  <sheetData>
    <row r="1" spans="1:6" s="415" customFormat="1">
      <c r="A1" s="412" t="s">
        <v>106</v>
      </c>
      <c r="B1" s="412" t="s">
        <v>206</v>
      </c>
      <c r="C1" s="412" t="s">
        <v>207</v>
      </c>
      <c r="D1" s="412" t="s">
        <v>208</v>
      </c>
      <c r="E1" s="413" t="s">
        <v>106</v>
      </c>
      <c r="F1" s="414" t="s">
        <v>106</v>
      </c>
    </row>
    <row r="2" spans="1:6">
      <c r="A2" s="416" t="s">
        <v>111</v>
      </c>
      <c r="B2" s="416" t="s">
        <v>112</v>
      </c>
      <c r="C2" s="417" t="str">
        <f>IF('project budget'!B5="","",'project budget'!B5)</f>
        <v>Land</v>
      </c>
      <c r="D2" s="416">
        <v>1</v>
      </c>
      <c r="E2" s="418">
        <f>IF('project budget'!C5="","",'project budget'!C5)</f>
        <v>0</v>
      </c>
      <c r="F2" s="419" t="str">
        <f>IFERROR(E2/SUM(E:E),"")</f>
        <v/>
      </c>
    </row>
    <row r="3" spans="1:6">
      <c r="A3" s="416" t="s">
        <v>111</v>
      </c>
      <c r="B3" s="416" t="s">
        <v>112</v>
      </c>
      <c r="C3" s="417" t="str">
        <f>IF('project budget'!B6="","",'project budget'!B6)</f>
        <v>Purchase of Building</v>
      </c>
      <c r="D3" s="416">
        <f>IF(B3=B2,D2+ 1, 1)</f>
        <v>2</v>
      </c>
      <c r="E3" s="418">
        <f>IF('project budget'!C6="","",'project budget'!C6)</f>
        <v>0</v>
      </c>
      <c r="F3" s="419" t="str">
        <f t="shared" ref="F3:F66" si="0">IFERROR(E3/SUM(E:E),"")</f>
        <v/>
      </c>
    </row>
    <row r="4" spans="1:6">
      <c r="A4" s="416" t="s">
        <v>111</v>
      </c>
      <c r="B4" s="416" t="s">
        <v>112</v>
      </c>
      <c r="C4" s="417" t="str">
        <f>IF('project budget'!B7="","",'project budget'!B7)</f>
        <v>Demolition (without replacement)</v>
      </c>
      <c r="D4" s="416">
        <f t="shared" ref="D4:D67" si="1">IF(B4=B3,D3+ 1, 1)</f>
        <v>3</v>
      </c>
      <c r="E4" s="418">
        <f>IF('project budget'!C7="","",'project budget'!C7)</f>
        <v>0</v>
      </c>
      <c r="F4" s="419" t="str">
        <f t="shared" si="0"/>
        <v/>
      </c>
    </row>
    <row r="5" spans="1:6">
      <c r="A5" s="416" t="s">
        <v>111</v>
      </c>
      <c r="B5" s="416" t="s">
        <v>112</v>
      </c>
      <c r="C5" s="417" t="str">
        <f>IF('project budget'!B8="","",'project budget'!B8)</f>
        <v>Appraisal</v>
      </c>
      <c r="D5" s="416">
        <f t="shared" si="1"/>
        <v>4</v>
      </c>
      <c r="E5" s="418">
        <f>IF('project budget'!C8="","",'project budget'!C8)</f>
        <v>0</v>
      </c>
      <c r="F5" s="419" t="str">
        <f t="shared" si="0"/>
        <v/>
      </c>
    </row>
    <row r="6" spans="1:6">
      <c r="A6" s="416" t="s">
        <v>111</v>
      </c>
      <c r="B6" s="416" t="s">
        <v>112</v>
      </c>
      <c r="C6" s="417" t="str">
        <f>IF('project budget'!B9="","",'project budget'!B9)</f>
        <v>Legal - Title and Recording</v>
      </c>
      <c r="D6" s="416">
        <f t="shared" si="1"/>
        <v>5</v>
      </c>
      <c r="E6" s="418">
        <f>IF('project budget'!C9="","",'project budget'!C9)</f>
        <v>0</v>
      </c>
      <c r="F6" s="419" t="str">
        <f t="shared" si="0"/>
        <v/>
      </c>
    </row>
    <row r="7" spans="1:6">
      <c r="A7" s="416" t="s">
        <v>111</v>
      </c>
      <c r="B7" s="416" t="s">
        <v>112</v>
      </c>
      <c r="C7" s="417" t="str">
        <f>IF('project budget'!B10="","",'project budget'!B10)</f>
        <v>[Additional Field - Specify]</v>
      </c>
      <c r="D7" s="416">
        <f t="shared" si="1"/>
        <v>6</v>
      </c>
      <c r="E7" s="418">
        <f>IF('project budget'!C10="","",'project budget'!C10)</f>
        <v>0</v>
      </c>
      <c r="F7" s="419" t="str">
        <f t="shared" si="0"/>
        <v/>
      </c>
    </row>
    <row r="8" spans="1:6">
      <c r="A8" s="416" t="s">
        <v>111</v>
      </c>
      <c r="B8" s="416" t="s">
        <v>112</v>
      </c>
      <c r="C8" s="417" t="str">
        <f>IF('project budget'!B11="","",'project budget'!B11)</f>
        <v>[Additional Field - Specify]</v>
      </c>
      <c r="D8" s="416">
        <f t="shared" si="1"/>
        <v>7</v>
      </c>
      <c r="E8" s="418">
        <f>IF('project budget'!C11="","",'project budget'!C11)</f>
        <v>0</v>
      </c>
      <c r="F8" s="419" t="str">
        <f t="shared" si="0"/>
        <v/>
      </c>
    </row>
    <row r="9" spans="1:6">
      <c r="A9" s="416" t="s">
        <v>111</v>
      </c>
      <c r="B9" s="416" t="s">
        <v>112</v>
      </c>
      <c r="C9" s="417" t="str">
        <f>IF('project budget'!B12="","",'project budget'!B12)</f>
        <v>[Additional Field - Specify]</v>
      </c>
      <c r="D9" s="416">
        <f t="shared" si="1"/>
        <v>8</v>
      </c>
      <c r="E9" s="418">
        <f>IF('project budget'!C12="","",'project budget'!C12)</f>
        <v>0</v>
      </c>
      <c r="F9" s="419" t="str">
        <f t="shared" si="0"/>
        <v/>
      </c>
    </row>
    <row r="10" spans="1:6">
      <c r="A10" s="416" t="s">
        <v>123</v>
      </c>
      <c r="B10" s="416" t="s">
        <v>124</v>
      </c>
      <c r="C10" s="417" t="str">
        <f>IF('project budget'!B15="","",'project budget'!B15)</f>
        <v>Construction - Residential</v>
      </c>
      <c r="D10" s="416">
        <f t="shared" si="1"/>
        <v>1</v>
      </c>
      <c r="E10" s="418">
        <f>IF('project budget'!C15="","",'project budget'!C15)</f>
        <v>0</v>
      </c>
      <c r="F10" s="419" t="str">
        <f t="shared" si="0"/>
        <v/>
      </c>
    </row>
    <row r="11" spans="1:6">
      <c r="A11" s="416" t="s">
        <v>123</v>
      </c>
      <c r="B11" s="416" t="s">
        <v>124</v>
      </c>
      <c r="C11" s="417" t="str">
        <f>IF('project budget'!B16="","",'project budget'!B16)</f>
        <v>Construction - Commercial</v>
      </c>
      <c r="D11" s="416">
        <f t="shared" si="1"/>
        <v>2</v>
      </c>
      <c r="E11" s="418">
        <f>IF('project budget'!C16="","",'project budget'!C16)</f>
        <v>0</v>
      </c>
      <c r="F11" s="419" t="str">
        <f t="shared" si="0"/>
        <v/>
      </c>
    </row>
    <row r="12" spans="1:6">
      <c r="A12" s="416" t="s">
        <v>123</v>
      </c>
      <c r="B12" s="416" t="s">
        <v>124</v>
      </c>
      <c r="C12" s="417" t="str">
        <f>IF('project budget'!B17="","",'project budget'!B17)</f>
        <v>Site Work</v>
      </c>
      <c r="D12" s="416">
        <f t="shared" si="1"/>
        <v>3</v>
      </c>
      <c r="E12" s="418">
        <f>IF('project budget'!C17="","",'project budget'!C17)</f>
        <v>0</v>
      </c>
      <c r="F12" s="419" t="str">
        <f t="shared" si="0"/>
        <v/>
      </c>
    </row>
    <row r="13" spans="1:6">
      <c r="A13" s="416" t="s">
        <v>123</v>
      </c>
      <c r="B13" s="416" t="s">
        <v>124</v>
      </c>
      <c r="C13" s="417" t="str">
        <f>IF('project budget'!B18="","",'project budget'!B18)</f>
        <v>Demolition - Construction</v>
      </c>
      <c r="D13" s="416">
        <f t="shared" si="1"/>
        <v>4</v>
      </c>
      <c r="E13" s="418">
        <f>IF('project budget'!C18="","",'project budget'!C18)</f>
        <v>0</v>
      </c>
      <c r="F13" s="419" t="str">
        <f t="shared" si="0"/>
        <v/>
      </c>
    </row>
    <row r="14" spans="1:6">
      <c r="A14" s="416" t="s">
        <v>123</v>
      </c>
      <c r="B14" s="416" t="s">
        <v>124</v>
      </c>
      <c r="C14" s="417" t="str">
        <f>IF('project budget'!B19="","",'project budget'!B19)</f>
        <v>Commercial Fit Up</v>
      </c>
      <c r="D14" s="416">
        <f t="shared" si="1"/>
        <v>5</v>
      </c>
      <c r="E14" s="418">
        <f>IF('project budget'!C19="","",'project budget'!C19)</f>
        <v>0</v>
      </c>
      <c r="F14" s="419" t="str">
        <f t="shared" si="0"/>
        <v/>
      </c>
    </row>
    <row r="15" spans="1:6">
      <c r="A15" s="416" t="s">
        <v>123</v>
      </c>
      <c r="B15" s="416" t="s">
        <v>124</v>
      </c>
      <c r="C15" s="417" t="str">
        <f>IF('project budget'!B20="","",'project budget'!B20)</f>
        <v>Contractor Overhead</v>
      </c>
      <c r="D15" s="416">
        <f t="shared" si="1"/>
        <v>6</v>
      </c>
      <c r="E15" s="418">
        <f>IF('project budget'!C20="","",'project budget'!C20)</f>
        <v>0</v>
      </c>
      <c r="F15" s="419" t="str">
        <f t="shared" si="0"/>
        <v/>
      </c>
    </row>
    <row r="16" spans="1:6">
      <c r="A16" s="416" t="s">
        <v>123</v>
      </c>
      <c r="B16" s="416" t="s">
        <v>124</v>
      </c>
      <c r="C16" s="417" t="str">
        <f>IF('project budget'!B21="","",'project budget'!B21)</f>
        <v>Contractor Profit</v>
      </c>
      <c r="D16" s="416">
        <f t="shared" si="1"/>
        <v>7</v>
      </c>
      <c r="E16" s="418">
        <f>IF('project budget'!C21="","",'project budget'!C21)</f>
        <v>0</v>
      </c>
      <c r="F16" s="419" t="str">
        <f t="shared" si="0"/>
        <v/>
      </c>
    </row>
    <row r="17" spans="1:6">
      <c r="A17" s="416" t="s">
        <v>123</v>
      </c>
      <c r="B17" s="416" t="s">
        <v>124</v>
      </c>
      <c r="C17" s="417" t="str">
        <f>IF('project budget'!B22="","",'project budget'!B22)</f>
        <v>Contractor General Requirements</v>
      </c>
      <c r="D17" s="416">
        <f t="shared" si="1"/>
        <v>8</v>
      </c>
      <c r="E17" s="418">
        <f>IF('project budget'!C22="","",'project budget'!C22)</f>
        <v>0</v>
      </c>
      <c r="F17" s="419" t="str">
        <f t="shared" si="0"/>
        <v/>
      </c>
    </row>
    <row r="18" spans="1:6">
      <c r="A18" s="416" t="s">
        <v>123</v>
      </c>
      <c r="B18" s="416" t="s">
        <v>124</v>
      </c>
      <c r="C18" s="417" t="str">
        <f>IF('project budget'!B23="","",'project budget'!B23)</f>
        <v>Construction Contingency</v>
      </c>
      <c r="D18" s="416">
        <f t="shared" si="1"/>
        <v>9</v>
      </c>
      <c r="E18" s="418">
        <f>IF('project budget'!C23="","",'project budget'!C23)</f>
        <v>0</v>
      </c>
      <c r="F18" s="419" t="str">
        <f t="shared" si="0"/>
        <v/>
      </c>
    </row>
    <row r="19" spans="1:6">
      <c r="A19" s="416" t="s">
        <v>123</v>
      </c>
      <c r="B19" s="416" t="s">
        <v>124</v>
      </c>
      <c r="C19" s="417" t="str">
        <f>IF('project budget'!B24="","",'project budget'!B24)</f>
        <v>Construction Bond Fee</v>
      </c>
      <c r="D19" s="416">
        <f t="shared" si="1"/>
        <v>10</v>
      </c>
      <c r="E19" s="418">
        <f>IF('project budget'!C24="","",'project budget'!C24)</f>
        <v>0</v>
      </c>
      <c r="F19" s="419" t="str">
        <f t="shared" si="0"/>
        <v/>
      </c>
    </row>
    <row r="20" spans="1:6">
      <c r="A20" s="416" t="s">
        <v>123</v>
      </c>
      <c r="B20" s="416" t="s">
        <v>124</v>
      </c>
      <c r="C20" s="417" t="str">
        <f>IF('project budget'!B25="","",'project budget'!B25)</f>
        <v>Hazardous Materials Abatement</v>
      </c>
      <c r="D20" s="416">
        <f t="shared" si="1"/>
        <v>11</v>
      </c>
      <c r="E20" s="418">
        <f>IF('project budget'!C25="","",'project budget'!C25)</f>
        <v>0</v>
      </c>
      <c r="F20" s="419" t="str">
        <f t="shared" si="0"/>
        <v/>
      </c>
    </row>
    <row r="21" spans="1:6">
      <c r="A21" s="416" t="s">
        <v>123</v>
      </c>
      <c r="B21" s="416" t="s">
        <v>124</v>
      </c>
      <c r="C21" s="417" t="str">
        <f>IF('project budget'!B26="","",'project budget'!B26)</f>
        <v>Off-Site Improvements</v>
      </c>
      <c r="D21" s="416">
        <f t="shared" si="1"/>
        <v>12</v>
      </c>
      <c r="E21" s="418">
        <f>IF('project budget'!C26="","",'project budget'!C26)</f>
        <v>0</v>
      </c>
      <c r="F21" s="419" t="str">
        <f t="shared" si="0"/>
        <v/>
      </c>
    </row>
    <row r="22" spans="1:6">
      <c r="A22" s="416" t="s">
        <v>123</v>
      </c>
      <c r="B22" s="416" t="s">
        <v>124</v>
      </c>
      <c r="C22" s="417" t="str">
        <f>IF('project budget'!B27="","",'project budget'!B27)</f>
        <v>Furnishings, Fixtures, &amp; Equipment</v>
      </c>
      <c r="D22" s="416">
        <f t="shared" si="1"/>
        <v>13</v>
      </c>
      <c r="E22" s="418">
        <f>IF('project budget'!C27="","",'project budget'!C27)</f>
        <v>0</v>
      </c>
      <c r="F22" s="419" t="str">
        <f t="shared" si="0"/>
        <v/>
      </c>
    </row>
    <row r="23" spans="1:6">
      <c r="A23" s="416" t="s">
        <v>123</v>
      </c>
      <c r="B23" s="416" t="s">
        <v>124</v>
      </c>
      <c r="C23" s="417" t="str">
        <f>IF('project budget'!B28="","",'project budget'!B28)</f>
        <v>[Additional Field - Specify]</v>
      </c>
      <c r="D23" s="416">
        <f t="shared" si="1"/>
        <v>14</v>
      </c>
      <c r="E23" s="418">
        <f>IF('project budget'!C28="","",'project budget'!C28)</f>
        <v>0</v>
      </c>
      <c r="F23" s="419" t="str">
        <f t="shared" si="0"/>
        <v/>
      </c>
    </row>
    <row r="24" spans="1:6">
      <c r="A24" s="416" t="s">
        <v>123</v>
      </c>
      <c r="B24" s="416" t="s">
        <v>124</v>
      </c>
      <c r="C24" s="417" t="str">
        <f>IF('project budget'!B29="","",'project budget'!B29)</f>
        <v>[Additional Field - Specify]</v>
      </c>
      <c r="D24" s="416">
        <f t="shared" si="1"/>
        <v>15</v>
      </c>
      <c r="E24" s="418">
        <f>IF('project budget'!C29="","",'project budget'!C29)</f>
        <v>0</v>
      </c>
      <c r="F24" s="419" t="str">
        <f t="shared" si="0"/>
        <v/>
      </c>
    </row>
    <row r="25" spans="1:6">
      <c r="A25" s="416" t="s">
        <v>123</v>
      </c>
      <c r="B25" s="416" t="s">
        <v>124</v>
      </c>
      <c r="C25" s="417" t="str">
        <f>IF('project budget'!B30="","",'project budget'!B30)</f>
        <v>[Additional Field - Specify]</v>
      </c>
      <c r="D25" s="416">
        <f t="shared" si="1"/>
        <v>16</v>
      </c>
      <c r="E25" s="418">
        <f>IF('project budget'!C30="","",'project budget'!C30)</f>
        <v>0</v>
      </c>
      <c r="F25" s="419" t="str">
        <f t="shared" si="0"/>
        <v/>
      </c>
    </row>
    <row r="26" spans="1:6">
      <c r="A26" s="416" t="s">
        <v>123</v>
      </c>
      <c r="B26" s="416" t="s">
        <v>124</v>
      </c>
      <c r="C26" s="417" t="str">
        <f>IF('project budget'!B31="","",'project budget'!B31)</f>
        <v>[Additional Field - Specify]</v>
      </c>
      <c r="D26" s="416">
        <f t="shared" si="1"/>
        <v>17</v>
      </c>
      <c r="E26" s="418">
        <f>IF('project budget'!C31="","",'project budget'!C31)</f>
        <v>0</v>
      </c>
      <c r="F26" s="419" t="str">
        <f t="shared" si="0"/>
        <v/>
      </c>
    </row>
    <row r="27" spans="1:6">
      <c r="A27" s="416" t="s">
        <v>123</v>
      </c>
      <c r="B27" s="416" t="s">
        <v>124</v>
      </c>
      <c r="C27" s="417" t="str">
        <f>IF('project budget'!B32="","",'project budget'!B32)</f>
        <v>[Additional Field - Specify]</v>
      </c>
      <c r="D27" s="416">
        <f t="shared" si="1"/>
        <v>18</v>
      </c>
      <c r="E27" s="418">
        <f>IF('project budget'!C32="","",'project budget'!C32)</f>
        <v>0</v>
      </c>
      <c r="F27" s="419" t="str">
        <f t="shared" si="0"/>
        <v/>
      </c>
    </row>
    <row r="28" spans="1:6">
      <c r="A28" s="416" t="s">
        <v>129</v>
      </c>
      <c r="B28" s="416" t="s">
        <v>209</v>
      </c>
      <c r="C28" s="416" t="s">
        <v>209</v>
      </c>
      <c r="D28" s="416">
        <f t="shared" si="1"/>
        <v>1</v>
      </c>
      <c r="E28" s="418">
        <v>0</v>
      </c>
      <c r="F28" s="419" t="str">
        <f t="shared" si="0"/>
        <v/>
      </c>
    </row>
    <row r="29" spans="1:6">
      <c r="A29" s="416" t="s">
        <v>135</v>
      </c>
      <c r="B29" s="416" t="s">
        <v>135</v>
      </c>
      <c r="C29" s="416" t="s">
        <v>135</v>
      </c>
      <c r="D29" s="416">
        <f t="shared" si="1"/>
        <v>1</v>
      </c>
      <c r="E29" s="421">
        <v>0</v>
      </c>
      <c r="F29" s="419" t="str">
        <f t="shared" si="0"/>
        <v/>
      </c>
    </row>
    <row r="30" spans="1:6">
      <c r="A30" s="416" t="s">
        <v>140</v>
      </c>
      <c r="B30" s="416" t="s">
        <v>210</v>
      </c>
      <c r="C30" s="417" t="str">
        <f>IF('project budget'!B36="","",'project budget'!B36)</f>
        <v>Architectural</v>
      </c>
      <c r="D30" s="416">
        <f t="shared" si="1"/>
        <v>1</v>
      </c>
      <c r="E30" s="418">
        <f>IF('project budget'!C36="","",'project budget'!C36)</f>
        <v>0</v>
      </c>
      <c r="F30" s="419" t="str">
        <f t="shared" si="0"/>
        <v/>
      </c>
    </row>
    <row r="31" spans="1:6">
      <c r="A31" s="416" t="s">
        <v>140</v>
      </c>
      <c r="B31" s="416" t="s">
        <v>210</v>
      </c>
      <c r="C31" s="417" t="str">
        <f>IF('project budget'!B37="","",'project budget'!B37)</f>
        <v>Engineering</v>
      </c>
      <c r="D31" s="416">
        <f t="shared" si="1"/>
        <v>2</v>
      </c>
      <c r="E31" s="418">
        <f>IF('project budget'!C37="","",'project budget'!C37)</f>
        <v>0</v>
      </c>
      <c r="F31" s="419" t="str">
        <f t="shared" si="0"/>
        <v/>
      </c>
    </row>
    <row r="32" spans="1:6">
      <c r="A32" s="416" t="s">
        <v>140</v>
      </c>
      <c r="B32" s="416" t="s">
        <v>210</v>
      </c>
      <c r="C32" s="417" t="str">
        <f>IF('project budget'!B38="","",'project budget'!B38)</f>
        <v xml:space="preserve">A&amp;E Combined Contract </v>
      </c>
      <c r="D32" s="416">
        <f t="shared" si="1"/>
        <v>3</v>
      </c>
      <c r="E32" s="418">
        <f>IF('project budget'!C38="","",'project budget'!C38)</f>
        <v>0</v>
      </c>
      <c r="F32" s="419" t="str">
        <f t="shared" si="0"/>
        <v/>
      </c>
    </row>
    <row r="33" spans="1:6">
      <c r="A33" s="416" t="s">
        <v>140</v>
      </c>
      <c r="B33" s="416" t="s">
        <v>210</v>
      </c>
      <c r="C33" s="417" t="str">
        <f>IF('project budget'!B39="","",'project budget'!B39)</f>
        <v>Legal/Accounting</v>
      </c>
      <c r="D33" s="416">
        <f t="shared" si="1"/>
        <v>4</v>
      </c>
      <c r="E33" s="418">
        <f>IF('project budget'!C39="","",'project budget'!C39)</f>
        <v>0</v>
      </c>
      <c r="F33" s="419" t="str">
        <f t="shared" si="0"/>
        <v/>
      </c>
    </row>
    <row r="34" spans="1:6">
      <c r="A34" s="416" t="s">
        <v>140</v>
      </c>
      <c r="B34" s="416" t="s">
        <v>210</v>
      </c>
      <c r="C34" s="417" t="str">
        <f>IF('project budget'!B52="","",'project budget'!B52)</f>
        <v>Clerk of the Works</v>
      </c>
      <c r="D34" s="416">
        <f t="shared" si="1"/>
        <v>5</v>
      </c>
      <c r="E34" s="418">
        <f>IF('project budget'!C52="","",'project budget'!C52)</f>
        <v>0</v>
      </c>
      <c r="F34" s="419" t="str">
        <f t="shared" si="0"/>
        <v/>
      </c>
    </row>
    <row r="35" spans="1:6">
      <c r="A35" s="416" t="s">
        <v>140</v>
      </c>
      <c r="B35" s="416" t="s">
        <v>210</v>
      </c>
      <c r="C35" s="417" t="str">
        <f>IF('project budget'!B53="","",'project budget'!B53)</f>
        <v>Marketing</v>
      </c>
      <c r="D35" s="416">
        <f t="shared" si="1"/>
        <v>6</v>
      </c>
      <c r="E35" s="418">
        <f>IF('project budget'!C53="","",'project budget'!C53)</f>
        <v>0</v>
      </c>
      <c r="F35" s="419" t="str">
        <f t="shared" si="0"/>
        <v/>
      </c>
    </row>
    <row r="36" spans="1:6">
      <c r="A36" s="416" t="s">
        <v>140</v>
      </c>
      <c r="B36" s="416" t="s">
        <v>210</v>
      </c>
      <c r="C36" s="417" t="str">
        <f>IF('project budget'!B46="","",'project budget'!B46)</f>
        <v>Cost Certification</v>
      </c>
      <c r="D36" s="416">
        <f t="shared" si="1"/>
        <v>7</v>
      </c>
      <c r="E36" s="418">
        <f>IF('project budget'!C46="","",'project budget'!C46)</f>
        <v>0</v>
      </c>
      <c r="F36" s="419" t="str">
        <f t="shared" si="0"/>
        <v/>
      </c>
    </row>
    <row r="37" spans="1:6">
      <c r="A37" s="416" t="s">
        <v>140</v>
      </c>
      <c r="B37" s="416" t="s">
        <v>210</v>
      </c>
      <c r="C37" s="417" t="str">
        <f>IF('project budget'!B47="","",'project budget'!B47)</f>
        <v>Capital Needs Assessment</v>
      </c>
      <c r="D37" s="416">
        <f t="shared" si="1"/>
        <v>8</v>
      </c>
      <c r="E37" s="418">
        <f>IF('project budget'!C47="","",'project budget'!C47)</f>
        <v>0</v>
      </c>
      <c r="F37" s="419" t="str">
        <f t="shared" si="0"/>
        <v/>
      </c>
    </row>
    <row r="38" spans="1:6">
      <c r="A38" s="416" t="s">
        <v>140</v>
      </c>
      <c r="B38" s="416" t="s">
        <v>211</v>
      </c>
      <c r="C38" s="417" t="str">
        <f>IF('project budget'!B40="","",'project budget'!B40)</f>
        <v>Relocation</v>
      </c>
      <c r="D38" s="416">
        <f t="shared" si="1"/>
        <v>1</v>
      </c>
      <c r="E38" s="418">
        <f>IF('project budget'!C40="","",'project budget'!C40)</f>
        <v>0</v>
      </c>
      <c r="F38" s="419" t="str">
        <f t="shared" si="0"/>
        <v/>
      </c>
    </row>
    <row r="39" spans="1:6">
      <c r="A39" s="416" t="s">
        <v>140</v>
      </c>
      <c r="B39" s="416" t="s">
        <v>211</v>
      </c>
      <c r="C39" s="417" t="str">
        <f>IF('project budget'!B41="","",'project budget'!B41)</f>
        <v>Construction Inspections</v>
      </c>
      <c r="D39" s="416">
        <f t="shared" si="1"/>
        <v>2</v>
      </c>
      <c r="E39" s="418">
        <f>IF('project budget'!C41="","",'project budget'!C41)</f>
        <v>0</v>
      </c>
      <c r="F39" s="419" t="str">
        <f t="shared" si="0"/>
        <v/>
      </c>
    </row>
    <row r="40" spans="1:6">
      <c r="A40" s="416" t="s">
        <v>140</v>
      </c>
      <c r="B40" s="416" t="s">
        <v>211</v>
      </c>
      <c r="C40" s="417" t="str">
        <f>IF('project budget'!B42="","",'project budget'!B42)</f>
        <v>Environmental Assessment</v>
      </c>
      <c r="D40" s="416">
        <f t="shared" si="1"/>
        <v>3</v>
      </c>
      <c r="E40" s="418">
        <f>IF('project budget'!C42="","",'project budget'!C42)</f>
        <v>0</v>
      </c>
      <c r="F40" s="419" t="str">
        <f t="shared" si="0"/>
        <v/>
      </c>
    </row>
    <row r="41" spans="1:6">
      <c r="A41" s="416" t="s">
        <v>140</v>
      </c>
      <c r="B41" s="416" t="s">
        <v>211</v>
      </c>
      <c r="C41" s="417" t="str">
        <f>IF('project budget'!B43="","",'project budget'!B43)</f>
        <v>Energy Assessment</v>
      </c>
      <c r="D41" s="416">
        <f t="shared" si="1"/>
        <v>4</v>
      </c>
      <c r="E41" s="418">
        <f>IF('project budget'!C43="","",'project budget'!C43)</f>
        <v>0</v>
      </c>
      <c r="F41" s="419" t="str">
        <f t="shared" si="0"/>
        <v/>
      </c>
    </row>
    <row r="42" spans="1:6">
      <c r="A42" s="416" t="s">
        <v>140</v>
      </c>
      <c r="B42" s="416" t="s">
        <v>211</v>
      </c>
      <c r="C42" s="417" t="str">
        <f>IF('project budget'!B45="","",'project budget'!B45)</f>
        <v>Market Study</v>
      </c>
      <c r="D42" s="416">
        <f t="shared" si="1"/>
        <v>5</v>
      </c>
      <c r="E42" s="418">
        <f>IF('project budget'!C45="","",'project budget'!C45)</f>
        <v>0</v>
      </c>
      <c r="F42" s="419" t="str">
        <f t="shared" si="0"/>
        <v/>
      </c>
    </row>
    <row r="43" spans="1:6">
      <c r="A43" s="416" t="s">
        <v>140</v>
      </c>
      <c r="B43" s="416" t="s">
        <v>211</v>
      </c>
      <c r="C43" s="417" t="str">
        <f>IF('project budget'!B48="","",'project budget'!B48)</f>
        <v>Construction Period Insurance</v>
      </c>
      <c r="D43" s="416">
        <f t="shared" si="1"/>
        <v>6</v>
      </c>
      <c r="E43" s="418">
        <f>IF('project budget'!C48="","",'project budget'!C48)</f>
        <v>0</v>
      </c>
      <c r="F43" s="419" t="str">
        <f t="shared" si="0"/>
        <v/>
      </c>
    </row>
    <row r="44" spans="1:6">
      <c r="A44" s="416" t="s">
        <v>140</v>
      </c>
      <c r="B44" s="416" t="s">
        <v>212</v>
      </c>
      <c r="C44" s="417" t="str">
        <f>IF('project budget'!B44="","",'project budget'!B44)</f>
        <v>Permits/Fees</v>
      </c>
      <c r="D44" s="416">
        <f t="shared" si="1"/>
        <v>1</v>
      </c>
      <c r="E44" s="418">
        <f>IF('project budget'!C44="","",'project budget'!C44)</f>
        <v>0</v>
      </c>
      <c r="F44" s="419" t="str">
        <f t="shared" si="0"/>
        <v/>
      </c>
    </row>
    <row r="45" spans="1:6">
      <c r="A45" s="416" t="s">
        <v>140</v>
      </c>
      <c r="B45" s="416" t="s">
        <v>212</v>
      </c>
      <c r="C45" s="417" t="str">
        <f>IF('project budget'!B49="","",'project budget'!B49)</f>
        <v>Construction Loan Interest</v>
      </c>
      <c r="D45" s="416">
        <f t="shared" si="1"/>
        <v>2</v>
      </c>
      <c r="E45" s="418">
        <f>IF('project budget'!C49="","",'project budget'!C49)</f>
        <v>0</v>
      </c>
      <c r="F45" s="419" t="str">
        <f t="shared" si="0"/>
        <v/>
      </c>
    </row>
    <row r="46" spans="1:6">
      <c r="A46" s="416" t="s">
        <v>140</v>
      </c>
      <c r="B46" s="416" t="s">
        <v>212</v>
      </c>
      <c r="C46" s="417" t="str">
        <f>IF('project budget'!B50="","",'project budget'!B50)</f>
        <v>Construction Loan Origination Fee</v>
      </c>
      <c r="D46" s="416">
        <f t="shared" si="1"/>
        <v>3</v>
      </c>
      <c r="E46" s="418">
        <f>IF('project budget'!C50="","",'project budget'!C50)</f>
        <v>0</v>
      </c>
      <c r="F46" s="419" t="str">
        <f t="shared" si="0"/>
        <v/>
      </c>
    </row>
    <row r="47" spans="1:6">
      <c r="A47" s="416" t="s">
        <v>140</v>
      </c>
      <c r="B47" s="416" t="s">
        <v>212</v>
      </c>
      <c r="C47" s="417" t="str">
        <f>IF('project budget'!B51="","",'project budget'!B51)</f>
        <v>Taxes During Construction</v>
      </c>
      <c r="D47" s="416">
        <f t="shared" si="1"/>
        <v>4</v>
      </c>
      <c r="E47" s="418">
        <f>IF('project budget'!C51="","",'project budget'!C51)</f>
        <v>0</v>
      </c>
      <c r="F47" s="419" t="str">
        <f t="shared" si="0"/>
        <v/>
      </c>
    </row>
    <row r="48" spans="1:6">
      <c r="A48" s="416" t="s">
        <v>140</v>
      </c>
      <c r="B48" s="416" t="s">
        <v>212</v>
      </c>
      <c r="C48" s="417" t="str">
        <f>IF('project budget'!B54="","",'project budget'!B54)</f>
        <v>Tax Credit Fees</v>
      </c>
      <c r="D48" s="416">
        <f t="shared" si="1"/>
        <v>5</v>
      </c>
      <c r="E48" s="418">
        <f>IF('project budget'!C54="","",'project budget'!C54)</f>
        <v>0</v>
      </c>
      <c r="F48" s="419" t="str">
        <f t="shared" si="0"/>
        <v/>
      </c>
    </row>
    <row r="49" spans="1:6">
      <c r="A49" s="416" t="s">
        <v>140</v>
      </c>
      <c r="B49" s="416" t="s">
        <v>212</v>
      </c>
      <c r="C49" s="417" t="str">
        <f>IF('project budget'!B56="","",'project budget'!B56)</f>
        <v>Permanent Loan Origination Fee</v>
      </c>
      <c r="D49" s="416">
        <f t="shared" si="1"/>
        <v>6</v>
      </c>
      <c r="E49" s="418">
        <f>IF('project budget'!C56="","",'project budget'!C56)</f>
        <v>0</v>
      </c>
      <c r="F49" s="419" t="str">
        <f t="shared" si="0"/>
        <v/>
      </c>
    </row>
    <row r="50" spans="1:6">
      <c r="A50" s="416" t="s">
        <v>140</v>
      </c>
      <c r="B50" s="416" t="s">
        <v>212</v>
      </c>
      <c r="C50" s="417" t="str">
        <f>IF('project budget'!B57="","",'project budget'!B57)</f>
        <v>Lender's Counsel's Fee</v>
      </c>
      <c r="D50" s="416">
        <f t="shared" si="1"/>
        <v>7</v>
      </c>
      <c r="E50" s="418">
        <f>IF('project budget'!C57="","",'project budget'!C57)</f>
        <v>0</v>
      </c>
      <c r="F50" s="419" t="str">
        <f t="shared" si="0"/>
        <v/>
      </c>
    </row>
    <row r="51" spans="1:6">
      <c r="A51" s="416" t="s">
        <v>140</v>
      </c>
      <c r="B51" s="416" t="s">
        <v>212</v>
      </c>
      <c r="C51" s="417" t="str">
        <f>IF('project budget'!B58="","",'project budget'!B58)</f>
        <v>[Additional Field - Specify]</v>
      </c>
      <c r="D51" s="416">
        <f t="shared" si="1"/>
        <v>8</v>
      </c>
      <c r="E51" s="418">
        <f>IF('project budget'!C58="","",'project budget'!C58)</f>
        <v>0</v>
      </c>
      <c r="F51" s="419" t="str">
        <f t="shared" si="0"/>
        <v/>
      </c>
    </row>
    <row r="52" spans="1:6">
      <c r="A52" s="416" t="s">
        <v>140</v>
      </c>
      <c r="B52" s="416" t="s">
        <v>212</v>
      </c>
      <c r="C52" s="417" t="str">
        <f>IF('project budget'!B59="","",'project budget'!B59)</f>
        <v>[Additional Field - Specify]</v>
      </c>
      <c r="D52" s="416">
        <f t="shared" si="1"/>
        <v>9</v>
      </c>
      <c r="E52" s="418">
        <f>IF('project budget'!C59="","",'project budget'!C59)</f>
        <v>0</v>
      </c>
      <c r="F52" s="419" t="str">
        <f t="shared" si="0"/>
        <v/>
      </c>
    </row>
    <row r="53" spans="1:6">
      <c r="A53" s="416" t="s">
        <v>140</v>
      </c>
      <c r="B53" s="416" t="s">
        <v>212</v>
      </c>
      <c r="C53" s="417" t="str">
        <f>IF('project budget'!B60="","",'project budget'!B60)</f>
        <v>[Additional Field - Specify]</v>
      </c>
      <c r="D53" s="416">
        <f t="shared" si="1"/>
        <v>10</v>
      </c>
      <c r="E53" s="418">
        <f>IF('project budget'!C60="","",'project budget'!C60)</f>
        <v>0</v>
      </c>
      <c r="F53" s="419" t="str">
        <f t="shared" si="0"/>
        <v/>
      </c>
    </row>
    <row r="54" spans="1:6">
      <c r="A54" s="416" t="s">
        <v>140</v>
      </c>
      <c r="B54" s="416" t="s">
        <v>212</v>
      </c>
      <c r="C54" s="417" t="str">
        <f>IF('project budget'!B61="","",'project budget'!B61)</f>
        <v>[Additional Field - Specify]</v>
      </c>
      <c r="D54" s="416">
        <f t="shared" si="1"/>
        <v>11</v>
      </c>
      <c r="E54" s="418">
        <f>IF('project budget'!C61="","",'project budget'!C61)</f>
        <v>0</v>
      </c>
      <c r="F54" s="419" t="str">
        <f t="shared" si="0"/>
        <v/>
      </c>
    </row>
    <row r="55" spans="1:6">
      <c r="A55" s="416" t="s">
        <v>140</v>
      </c>
      <c r="B55" s="416" t="s">
        <v>212</v>
      </c>
      <c r="C55" s="417" t="str">
        <f>IF('project budget'!B62="","",'project budget'!B62)</f>
        <v>[Additional Field - Specify]</v>
      </c>
      <c r="D55" s="416">
        <f t="shared" si="1"/>
        <v>12</v>
      </c>
      <c r="E55" s="418">
        <f>IF('project budget'!C62="","",'project budget'!C62)</f>
        <v>0</v>
      </c>
      <c r="F55" s="419" t="str">
        <f t="shared" si="0"/>
        <v/>
      </c>
    </row>
    <row r="56" spans="1:6">
      <c r="A56" s="416" t="s">
        <v>140</v>
      </c>
      <c r="B56" s="416" t="s">
        <v>212</v>
      </c>
      <c r="C56" s="417" t="str">
        <f>IF('project budget'!B63="","",'project budget'!B63)</f>
        <v>[Additional Field - Specify]</v>
      </c>
      <c r="D56" s="416">
        <f t="shared" si="1"/>
        <v>13</v>
      </c>
      <c r="E56" s="418">
        <f>IF('project budget'!C63="","",'project budget'!C63)</f>
        <v>0</v>
      </c>
      <c r="F56" s="419" t="str">
        <f t="shared" si="0"/>
        <v/>
      </c>
    </row>
    <row r="57" spans="1:6">
      <c r="A57" s="416" t="s">
        <v>140</v>
      </c>
      <c r="B57" s="416" t="s">
        <v>212</v>
      </c>
      <c r="C57" s="417" t="str">
        <f>IF('project budget'!B64="","",'project budget'!B64)</f>
        <v>[Additional Field - Specify]</v>
      </c>
      <c r="D57" s="416">
        <f t="shared" si="1"/>
        <v>14</v>
      </c>
      <c r="E57" s="418">
        <f>IF('project budget'!C64="","",'project budget'!C64)</f>
        <v>0</v>
      </c>
      <c r="F57" s="419" t="str">
        <f t="shared" si="0"/>
        <v/>
      </c>
    </row>
    <row r="58" spans="1:6">
      <c r="A58" s="416" t="s">
        <v>140</v>
      </c>
      <c r="B58" s="416" t="s">
        <v>212</v>
      </c>
      <c r="C58" s="417" t="str">
        <f>IF('project budget'!B65="","",'project budget'!B65)</f>
        <v>[Additional Field - Specify]</v>
      </c>
      <c r="D58" s="416">
        <f t="shared" si="1"/>
        <v>15</v>
      </c>
      <c r="E58" s="418">
        <f>IF('project budget'!C65="","",'project budget'!C65)</f>
        <v>0</v>
      </c>
      <c r="F58" s="419" t="str">
        <f t="shared" si="0"/>
        <v/>
      </c>
    </row>
    <row r="59" spans="1:6">
      <c r="A59" s="416" t="s">
        <v>140</v>
      </c>
      <c r="B59" s="416" t="s">
        <v>212</v>
      </c>
      <c r="C59" s="417" t="str">
        <f>IF('project budget'!B68="","",'project budget'!B68)</f>
        <v>Organizational (Partnership)</v>
      </c>
      <c r="D59" s="416">
        <f t="shared" si="1"/>
        <v>16</v>
      </c>
      <c r="E59" s="418">
        <f>IF('project budget'!C68="","",'project budget'!C68)</f>
        <v>0</v>
      </c>
      <c r="F59" s="419" t="str">
        <f t="shared" si="0"/>
        <v/>
      </c>
    </row>
    <row r="60" spans="1:6">
      <c r="A60" s="416" t="s">
        <v>140</v>
      </c>
      <c r="B60" s="416" t="s">
        <v>212</v>
      </c>
      <c r="C60" s="417" t="str">
        <f>IF('project budget'!B69="","",'project budget'!B69)</f>
        <v>Bridge Loan Fees and Expenses</v>
      </c>
      <c r="D60" s="416">
        <f t="shared" si="1"/>
        <v>17</v>
      </c>
      <c r="E60" s="418">
        <f>IF('project budget'!C69="","",'project budget'!C69)</f>
        <v>0</v>
      </c>
      <c r="F60" s="419" t="str">
        <f t="shared" si="0"/>
        <v/>
      </c>
    </row>
    <row r="61" spans="1:6" ht="15" customHeight="1">
      <c r="A61" s="416" t="s">
        <v>140</v>
      </c>
      <c r="B61" s="416" t="s">
        <v>212</v>
      </c>
      <c r="C61" s="417" t="str">
        <f>IF('project budget'!B70="","",'project budget'!B70)</f>
        <v>Syndication Consultant</v>
      </c>
      <c r="D61" s="416">
        <f t="shared" si="1"/>
        <v>18</v>
      </c>
      <c r="E61" s="418">
        <f>IF('project budget'!C70="","",'project budget'!C70)</f>
        <v>0</v>
      </c>
      <c r="F61" s="419" t="str">
        <f t="shared" si="0"/>
        <v/>
      </c>
    </row>
    <row r="62" spans="1:6">
      <c r="A62" s="416" t="s">
        <v>140</v>
      </c>
      <c r="B62" s="416" t="s">
        <v>212</v>
      </c>
      <c r="C62" s="417" t="str">
        <f>IF('project budget'!B71="","",'project budget'!B71)</f>
        <v>Tax Opinion</v>
      </c>
      <c r="D62" s="416">
        <f t="shared" si="1"/>
        <v>19</v>
      </c>
      <c r="E62" s="418">
        <f>IF('project budget'!C71="","",'project budget'!C71)</f>
        <v>0</v>
      </c>
      <c r="F62" s="419" t="str">
        <f t="shared" si="0"/>
        <v/>
      </c>
    </row>
    <row r="63" spans="1:6">
      <c r="A63" s="416" t="s">
        <v>140</v>
      </c>
      <c r="B63" s="416" t="s">
        <v>212</v>
      </c>
      <c r="C63" s="417" t="str">
        <f>IF('project budget'!B72="","",'project budget'!B72)</f>
        <v>[Additional Field - Specify]</v>
      </c>
      <c r="D63" s="416">
        <f t="shared" si="1"/>
        <v>20</v>
      </c>
      <c r="E63" s="418">
        <f>IF('project budget'!C72="","",'project budget'!C72)</f>
        <v>0</v>
      </c>
      <c r="F63" s="419" t="str">
        <f t="shared" si="0"/>
        <v/>
      </c>
    </row>
    <row r="64" spans="1:6">
      <c r="A64" s="416" t="s">
        <v>140</v>
      </c>
      <c r="B64" s="416" t="s">
        <v>212</v>
      </c>
      <c r="C64" s="417" t="str">
        <f>IF('project budget'!B73="","",'project budget'!B73)</f>
        <v>[Additional Field - Specify]</v>
      </c>
      <c r="D64" s="416">
        <f t="shared" si="1"/>
        <v>21</v>
      </c>
      <c r="E64" s="418">
        <f>IF('project budget'!C73="","",'project budget'!C73)</f>
        <v>0</v>
      </c>
      <c r="F64" s="419" t="str">
        <f t="shared" si="0"/>
        <v/>
      </c>
    </row>
    <row r="65" spans="1:6">
      <c r="A65" s="416" t="s">
        <v>140</v>
      </c>
      <c r="B65" s="416" t="s">
        <v>212</v>
      </c>
      <c r="C65" s="417" t="str">
        <f>IF('project budget'!B74="","",'project budget'!B74)</f>
        <v>[Additional Field - Specify]</v>
      </c>
      <c r="D65" s="416">
        <f t="shared" si="1"/>
        <v>22</v>
      </c>
      <c r="E65" s="418">
        <f>IF('project budget'!C74="","",'project budget'!C74)</f>
        <v>0</v>
      </c>
      <c r="F65" s="419" t="str">
        <f t="shared" si="0"/>
        <v/>
      </c>
    </row>
    <row r="66" spans="1:6">
      <c r="A66" s="416" t="s">
        <v>140</v>
      </c>
      <c r="B66" s="416" t="s">
        <v>213</v>
      </c>
      <c r="C66" s="417" t="str">
        <f>IF('project budget'!B85="","",'project budget'!B85)</f>
        <v>Working Capital</v>
      </c>
      <c r="D66" s="416">
        <f t="shared" si="1"/>
        <v>1</v>
      </c>
      <c r="E66" s="418">
        <f>IF('project budget'!C85="","",'project budget'!C85)</f>
        <v>0</v>
      </c>
      <c r="F66" s="419" t="str">
        <f t="shared" si="0"/>
        <v/>
      </c>
    </row>
    <row r="67" spans="1:6">
      <c r="A67" s="416" t="s">
        <v>140</v>
      </c>
      <c r="B67" s="416" t="s">
        <v>213</v>
      </c>
      <c r="C67" s="417" t="str">
        <f>IF('project budget'!B86="","",'project budget'!B86)</f>
        <v>Rent-up (Deficit Escrow) Reserve</v>
      </c>
      <c r="D67" s="416">
        <f t="shared" si="1"/>
        <v>2</v>
      </c>
      <c r="E67" s="418">
        <f>IF('project budget'!C86="","",'project budget'!C86)</f>
        <v>0</v>
      </c>
      <c r="F67" s="419" t="str">
        <f t="shared" ref="F67:F78" si="2">IFERROR(E67/SUM(E:E),"")</f>
        <v/>
      </c>
    </row>
    <row r="68" spans="1:6">
      <c r="A68" s="416" t="s">
        <v>140</v>
      </c>
      <c r="B68" s="416" t="s">
        <v>213</v>
      </c>
      <c r="C68" s="417" t="str">
        <f>IF('project budget'!B87="","",'project budget'!B87)</f>
        <v>Operating Reserves</v>
      </c>
      <c r="D68" s="416">
        <f t="shared" ref="D68:D77" si="3">IF(B68=B67,D67+ 1, 1)</f>
        <v>3</v>
      </c>
      <c r="E68" s="418">
        <f>IF('project budget'!C87="","",'project budget'!C87)</f>
        <v>0</v>
      </c>
      <c r="F68" s="419" t="str">
        <f t="shared" si="2"/>
        <v/>
      </c>
    </row>
    <row r="69" spans="1:6">
      <c r="A69" s="416" t="s">
        <v>140</v>
      </c>
      <c r="B69" s="416" t="s">
        <v>213</v>
      </c>
      <c r="C69" s="417" t="str">
        <f>IF('project budget'!B88="","",'project budget'!B88)</f>
        <v>Replacement Reserves</v>
      </c>
      <c r="D69" s="416">
        <f t="shared" si="3"/>
        <v>4</v>
      </c>
      <c r="E69" s="418">
        <f>IF('project budget'!C88="","",'project budget'!C88)</f>
        <v>0</v>
      </c>
      <c r="F69" s="419" t="str">
        <f t="shared" si="2"/>
        <v/>
      </c>
    </row>
    <row r="70" spans="1:6">
      <c r="A70" s="416" t="s">
        <v>140</v>
      </c>
      <c r="B70" s="416" t="s">
        <v>213</v>
      </c>
      <c r="C70" s="417" t="str">
        <f>IF('project budget'!B89="","",'project budget'!B89)</f>
        <v>[Additional Field - Specify]</v>
      </c>
      <c r="D70" s="416">
        <f t="shared" si="3"/>
        <v>5</v>
      </c>
      <c r="E70" s="418">
        <f>IF('project budget'!C89="","",'project budget'!C89)</f>
        <v>0</v>
      </c>
      <c r="F70" s="419" t="str">
        <f t="shared" si="2"/>
        <v/>
      </c>
    </row>
    <row r="71" spans="1:6">
      <c r="A71" s="416" t="s">
        <v>140</v>
      </c>
      <c r="B71" s="416" t="s">
        <v>213</v>
      </c>
      <c r="C71" s="417" t="str">
        <f>IF('project budget'!B90="","",'project budget'!B90)</f>
        <v>[Additional Field - Specify]</v>
      </c>
      <c r="D71" s="416">
        <f t="shared" si="3"/>
        <v>6</v>
      </c>
      <c r="E71" s="418">
        <f>IF('project budget'!C90="","",'project budget'!C90)</f>
        <v>0</v>
      </c>
      <c r="F71" s="419" t="str">
        <f t="shared" si="2"/>
        <v/>
      </c>
    </row>
    <row r="72" spans="1:6">
      <c r="A72" s="416" t="s">
        <v>28</v>
      </c>
      <c r="B72" s="416" t="s">
        <v>28</v>
      </c>
      <c r="C72" s="417" t="str">
        <f>IF('project budget'!B77="","",'project budget'!B77)</f>
        <v>Developer's Fees</v>
      </c>
      <c r="D72" s="416">
        <f t="shared" si="3"/>
        <v>1</v>
      </c>
      <c r="E72" s="418">
        <f>IF('project budget'!C77="","",'project budget'!C77)</f>
        <v>0</v>
      </c>
      <c r="F72" s="419" t="str">
        <f t="shared" si="2"/>
        <v/>
      </c>
    </row>
    <row r="73" spans="1:6">
      <c r="A73" s="416" t="s">
        <v>28</v>
      </c>
      <c r="B73" s="416" t="s">
        <v>28</v>
      </c>
      <c r="C73" s="417" t="str">
        <f>IF('project budget'!B78="","",'project budget'!B78)</f>
        <v>Other Partnership Fees</v>
      </c>
      <c r="D73" s="416">
        <f t="shared" si="3"/>
        <v>2</v>
      </c>
      <c r="E73" s="418">
        <f>IF('project budget'!C78="","",'project budget'!C78)</f>
        <v>0</v>
      </c>
      <c r="F73" s="419" t="str">
        <f t="shared" si="2"/>
        <v/>
      </c>
    </row>
    <row r="74" spans="1:6">
      <c r="A74" s="416" t="s">
        <v>28</v>
      </c>
      <c r="B74" s="416" t="s">
        <v>28</v>
      </c>
      <c r="C74" s="417" t="str">
        <f>IF('project budget'!B79="","",'project budget'!B79)</f>
        <v>Consultant Fees</v>
      </c>
      <c r="D74" s="416">
        <f t="shared" si="3"/>
        <v>3</v>
      </c>
      <c r="E74" s="418">
        <f>IF('project budget'!C79="","",'project budget'!C79)</f>
        <v>0</v>
      </c>
      <c r="F74" s="419" t="str">
        <f t="shared" si="2"/>
        <v/>
      </c>
    </row>
    <row r="75" spans="1:6">
      <c r="A75" s="416" t="s">
        <v>28</v>
      </c>
      <c r="B75" s="416" t="s">
        <v>28</v>
      </c>
      <c r="C75" s="417" t="str">
        <f>IF('project budget'!B80="","",'project budget'!B80)</f>
        <v>[Additional Field - Specify]</v>
      </c>
      <c r="D75" s="416">
        <f t="shared" si="3"/>
        <v>4</v>
      </c>
      <c r="E75" s="418">
        <f>IF('project budget'!C80="","",'project budget'!C80)</f>
        <v>0</v>
      </c>
      <c r="F75" s="419" t="str">
        <f t="shared" si="2"/>
        <v/>
      </c>
    </row>
    <row r="76" spans="1:6">
      <c r="A76" s="416" t="s">
        <v>28</v>
      </c>
      <c r="B76" s="416" t="s">
        <v>28</v>
      </c>
      <c r="C76" s="417" t="str">
        <f>IF('project budget'!B81="","",'project budget'!B81)</f>
        <v>[Additional Field - Specify]</v>
      </c>
      <c r="D76" s="416">
        <f t="shared" si="3"/>
        <v>5</v>
      </c>
      <c r="E76" s="418">
        <f>IF('project budget'!C81="","",'project budget'!C81)</f>
        <v>0</v>
      </c>
      <c r="F76" s="419" t="str">
        <f t="shared" si="2"/>
        <v/>
      </c>
    </row>
    <row r="77" spans="1:6">
      <c r="A77" s="416" t="s">
        <v>28</v>
      </c>
      <c r="B77" s="416" t="s">
        <v>28</v>
      </c>
      <c r="C77" s="417" t="str">
        <f>IF('project budget'!B82="","",'project budget'!B82)</f>
        <v>[Additional Field - Specify]</v>
      </c>
      <c r="D77" s="416">
        <f t="shared" si="3"/>
        <v>6</v>
      </c>
      <c r="E77" s="418">
        <f>IF('project budget'!C82="","",'project budget'!C82)</f>
        <v>0</v>
      </c>
      <c r="F77" s="419" t="str">
        <f t="shared" si="2"/>
        <v/>
      </c>
    </row>
    <row r="78" spans="1:6">
      <c r="A78" s="416" t="s">
        <v>156</v>
      </c>
      <c r="B78" s="416" t="s">
        <v>156</v>
      </c>
      <c r="C78" s="417" t="str">
        <f>IF('project budget'!B55="","",'project budget'!B55)</f>
        <v>Soft Cost Contingency</v>
      </c>
      <c r="D78" s="416">
        <f>IF(B78=B77,D77+ 1, 1)</f>
        <v>1</v>
      </c>
      <c r="E78" s="418">
        <f>IF('project budget'!C55="","",'project budget'!C55)</f>
        <v>0</v>
      </c>
      <c r="F78" s="419" t="str">
        <f t="shared" si="2"/>
        <v/>
      </c>
    </row>
    <row r="79" spans="1:6">
      <c r="A79" s="420"/>
      <c r="B79" s="420"/>
      <c r="C79" s="420"/>
      <c r="D79" s="420"/>
      <c r="E79" s="420"/>
      <c r="F79" s="419" t="str">
        <f>IFERROR(#REF!/SUM(E:E),"")</f>
        <v/>
      </c>
    </row>
    <row r="80" spans="1:6">
      <c r="A80" s="420"/>
      <c r="B80" s="420"/>
      <c r="C80" s="420"/>
      <c r="D80" s="420"/>
      <c r="E80" s="420"/>
      <c r="F80" s="419" t="str">
        <f>IFERROR(#REF!/SUM(E:E),"")</f>
        <v/>
      </c>
    </row>
    <row r="81" spans="1:6">
      <c r="A81" s="420"/>
      <c r="B81" s="420"/>
      <c r="C81" s="420"/>
      <c r="D81" s="420"/>
      <c r="E81" s="420"/>
    </row>
    <row r="82" spans="1:6">
      <c r="C82" s="417"/>
      <c r="E82" s="418"/>
    </row>
    <row r="83" spans="1:6">
      <c r="C83" s="417"/>
      <c r="E83" s="418"/>
    </row>
    <row r="84" spans="1:6">
      <c r="C84" s="417"/>
      <c r="E84" s="418"/>
    </row>
    <row r="85" spans="1:6">
      <c r="C85" s="417"/>
      <c r="E85" s="418"/>
    </row>
    <row r="86" spans="1:6">
      <c r="C86" s="417"/>
      <c r="E86" s="418"/>
    </row>
    <row r="87" spans="1:6">
      <c r="C87" s="417"/>
      <c r="E87" s="418"/>
    </row>
    <row r="88" spans="1:6">
      <c r="C88" s="417"/>
      <c r="E88" s="418"/>
    </row>
    <row r="89" spans="1:6">
      <c r="A89" s="420"/>
      <c r="B89" s="420"/>
      <c r="C89" s="417"/>
      <c r="E89" s="418"/>
    </row>
    <row r="90" spans="1:6">
      <c r="A90" s="420"/>
      <c r="B90" s="420"/>
      <c r="C90" s="417"/>
      <c r="E90" s="418"/>
    </row>
    <row r="91" spans="1:6">
      <c r="A91" s="420"/>
      <c r="B91" s="420"/>
      <c r="C91" s="417"/>
      <c r="E91" s="418"/>
    </row>
    <row r="92" spans="1:6">
      <c r="A92" s="420"/>
      <c r="B92" s="420"/>
      <c r="C92" s="417"/>
      <c r="E92" s="418"/>
    </row>
    <row r="93" spans="1:6">
      <c r="A93" s="420"/>
      <c r="B93" s="420"/>
      <c r="C93" s="417"/>
      <c r="E93" s="418"/>
    </row>
    <row r="94" spans="1:6">
      <c r="A94" s="420"/>
      <c r="B94" s="420"/>
      <c r="C94" s="417"/>
      <c r="E94" s="418"/>
    </row>
    <row r="95" spans="1:6">
      <c r="A95" s="420"/>
      <c r="B95" s="420"/>
      <c r="C95" s="420"/>
      <c r="D95" s="420"/>
      <c r="E95" s="420"/>
      <c r="F95" s="419" t="str">
        <f>IFERROR(#REF!/SUM(E:E),"")</f>
        <v/>
      </c>
    </row>
    <row r="96" spans="1:6">
      <c r="C96" s="417"/>
      <c r="E96" s="418"/>
    </row>
    <row r="103" spans="3:3">
      <c r="C103" s="417"/>
    </row>
  </sheetData>
  <pageMargins left="0.69930555555555596" right="0.69930555555555596"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D001-DB6C-4C05-9228-5849B1288827}">
  <dimension ref="A1:BC943"/>
  <sheetViews>
    <sheetView workbookViewId="0">
      <selection activeCell="U12" sqref="U12"/>
    </sheetView>
  </sheetViews>
  <sheetFormatPr defaultColWidth="10.75" defaultRowHeight="15" customHeight="1"/>
  <cols>
    <col min="1" max="1" width="25.75" style="434" bestFit="1" customWidth="1"/>
    <col min="2" max="18" width="10.75" style="434"/>
    <col min="19" max="19" width="42" style="434" customWidth="1"/>
    <col min="20" max="20" width="7.25" style="434" customWidth="1"/>
    <col min="21" max="21" width="13.4140625" style="434" customWidth="1"/>
    <col min="22" max="22" width="9.1640625" style="434" customWidth="1"/>
    <col min="23" max="23" width="13.1640625" style="434" customWidth="1"/>
    <col min="24" max="24" width="10.25" style="434" customWidth="1"/>
    <col min="25" max="25" width="11.25" style="434" customWidth="1"/>
    <col min="26" max="26" width="9.4140625" style="434" bestFit="1" customWidth="1"/>
    <col min="27" max="27" width="14.75" style="434" bestFit="1" customWidth="1"/>
    <col min="28" max="28" width="11.75" style="455" customWidth="1"/>
    <col min="29" max="29" width="14.75" style="434" customWidth="1"/>
    <col min="30" max="30" width="14.25" style="434" customWidth="1"/>
    <col min="31" max="32" width="12.58203125" style="434" customWidth="1"/>
    <col min="33" max="33" width="12.25" style="434" customWidth="1"/>
    <col min="34" max="34" width="11.75" style="434" customWidth="1"/>
    <col min="35" max="35" width="7.75" style="434" customWidth="1"/>
    <col min="36" max="36" width="14.75" style="434" customWidth="1"/>
    <col min="37" max="37" width="10.75" style="434"/>
    <col min="38" max="38" width="42" style="434" customWidth="1"/>
    <col min="39" max="39" width="7.25" style="434" customWidth="1"/>
    <col min="40" max="40" width="13.4140625" style="434" customWidth="1"/>
    <col min="41" max="41" width="9.1640625" style="434" customWidth="1"/>
    <col min="42" max="42" width="13.1640625" style="434" customWidth="1"/>
    <col min="43" max="43" width="10.25" style="434" customWidth="1"/>
    <col min="44" max="44" width="11.25" style="434" customWidth="1"/>
    <col min="45" max="45" width="9.4140625" style="434" bestFit="1" customWidth="1"/>
    <col min="46" max="46" width="14.75" style="434" bestFit="1" customWidth="1"/>
    <col min="47" max="47" width="11.75" style="455" customWidth="1"/>
    <col min="48" max="48" width="14.75" style="434" customWidth="1"/>
    <col min="49" max="49" width="14.25" style="434" customWidth="1"/>
    <col min="50" max="51" width="12.58203125" style="434" customWidth="1"/>
    <col min="52" max="52" width="12.25" style="434" customWidth="1"/>
    <col min="53" max="53" width="11.75" style="434" customWidth="1"/>
    <col min="54" max="54" width="7.75" style="434" customWidth="1"/>
    <col min="55" max="55" width="14.75" style="434" customWidth="1"/>
    <col min="56" max="16384" width="10.75" style="434"/>
  </cols>
  <sheetData>
    <row r="1" spans="1:55" ht="14.25" customHeight="1">
      <c r="A1" s="422" t="s">
        <v>214</v>
      </c>
      <c r="B1" s="422" t="s">
        <v>215</v>
      </c>
      <c r="C1" s="423" t="s">
        <v>216</v>
      </c>
      <c r="D1" s="424" t="s">
        <v>217</v>
      </c>
      <c r="E1" s="424" t="s">
        <v>218</v>
      </c>
      <c r="F1" s="425" t="s">
        <v>219</v>
      </c>
      <c r="G1" s="426" t="s">
        <v>220</v>
      </c>
      <c r="H1" s="426" t="s">
        <v>221</v>
      </c>
      <c r="I1" s="427" t="s">
        <v>222</v>
      </c>
      <c r="J1" s="428" t="s">
        <v>223</v>
      </c>
      <c r="K1" s="429" t="s">
        <v>224</v>
      </c>
      <c r="L1" s="430" t="s">
        <v>225</v>
      </c>
      <c r="M1" s="431" t="s">
        <v>226</v>
      </c>
      <c r="N1" s="431" t="s">
        <v>227</v>
      </c>
      <c r="O1" s="432" t="s">
        <v>228</v>
      </c>
      <c r="P1" s="433" t="s">
        <v>229</v>
      </c>
      <c r="Q1" s="432" t="s">
        <v>230</v>
      </c>
      <c r="R1" s="432" t="s">
        <v>231</v>
      </c>
      <c r="S1" s="422" t="s">
        <v>214</v>
      </c>
      <c r="T1" s="422" t="s">
        <v>215</v>
      </c>
      <c r="U1" s="423" t="s">
        <v>216</v>
      </c>
      <c r="V1" s="424" t="s">
        <v>217</v>
      </c>
      <c r="W1" s="424" t="s">
        <v>218</v>
      </c>
      <c r="X1" s="425" t="s">
        <v>219</v>
      </c>
      <c r="Y1" s="426" t="s">
        <v>220</v>
      </c>
      <c r="Z1" s="426" t="s">
        <v>221</v>
      </c>
      <c r="AA1" s="427" t="s">
        <v>222</v>
      </c>
      <c r="AB1" s="428" t="s">
        <v>223</v>
      </c>
      <c r="AC1" s="429" t="s">
        <v>224</v>
      </c>
      <c r="AD1" s="430" t="s">
        <v>225</v>
      </c>
      <c r="AE1" s="431" t="s">
        <v>226</v>
      </c>
      <c r="AF1" s="431" t="s">
        <v>227</v>
      </c>
      <c r="AG1" s="432" t="s">
        <v>228</v>
      </c>
      <c r="AH1" s="433" t="s">
        <v>229</v>
      </c>
      <c r="AI1" s="432" t="s">
        <v>230</v>
      </c>
      <c r="AJ1" s="432" t="s">
        <v>231</v>
      </c>
      <c r="AL1" s="422" t="s">
        <v>214</v>
      </c>
      <c r="AM1" s="422" t="s">
        <v>215</v>
      </c>
      <c r="AN1" s="423" t="s">
        <v>216</v>
      </c>
      <c r="AO1" s="424" t="s">
        <v>217</v>
      </c>
      <c r="AP1" s="424" t="s">
        <v>218</v>
      </c>
      <c r="AQ1" s="425" t="s">
        <v>219</v>
      </c>
      <c r="AR1" s="426" t="s">
        <v>220</v>
      </c>
      <c r="AS1" s="426" t="s">
        <v>221</v>
      </c>
      <c r="AT1" s="427" t="s">
        <v>222</v>
      </c>
      <c r="AU1" s="428" t="s">
        <v>223</v>
      </c>
      <c r="AV1" s="429" t="s">
        <v>224</v>
      </c>
      <c r="AW1" s="430" t="s">
        <v>225</v>
      </c>
      <c r="AX1" s="431" t="s">
        <v>226</v>
      </c>
      <c r="AY1" s="431" t="s">
        <v>227</v>
      </c>
      <c r="AZ1" s="432" t="s">
        <v>228</v>
      </c>
      <c r="BA1" s="433" t="s">
        <v>229</v>
      </c>
      <c r="BB1" s="432" t="s">
        <v>230</v>
      </c>
      <c r="BC1" s="432" t="s">
        <v>231</v>
      </c>
    </row>
    <row r="2" spans="1:55" ht="14.25" customHeight="1">
      <c r="A2" s="434" t="str">
        <f>IF(V2&gt;0,S2, "")</f>
        <v/>
      </c>
      <c r="B2" s="434" t="str">
        <f>IF(V2&gt;0,T2, "")</f>
        <v/>
      </c>
      <c r="C2" s="434" t="str">
        <f>IF(V2&gt;0,U2, "")</f>
        <v/>
      </c>
      <c r="D2" s="434" t="str">
        <f>IF(V2&gt;0,V2, "")</f>
        <v/>
      </c>
      <c r="E2" s="434" t="str">
        <f>IF(V2&gt;0,W2, "")</f>
        <v/>
      </c>
      <c r="F2" s="434" t="str">
        <f>IF(V2&gt;0,X2, "")</f>
        <v/>
      </c>
      <c r="G2" s="434" t="str">
        <f>IF(V2&gt;0,Y2, "")</f>
        <v/>
      </c>
      <c r="H2" s="434" t="str">
        <f>IF(V2&gt;0,Z2, "")</f>
        <v/>
      </c>
      <c r="I2" s="434" t="str">
        <f>IF(V2&gt;0,AA2, "")</f>
        <v/>
      </c>
      <c r="J2" s="434" t="str">
        <f>IF(V2&gt;0,AB2, "")</f>
        <v/>
      </c>
      <c r="K2" s="434" t="str">
        <f>IF(V2&gt;0,AC2, "")</f>
        <v/>
      </c>
      <c r="L2" s="434" t="str">
        <f>IF(V2&gt;0,AD2, "")</f>
        <v/>
      </c>
      <c r="M2" s="434" t="str">
        <f>IF(V2&gt;0,AE2, "")</f>
        <v/>
      </c>
      <c r="N2" s="434" t="str">
        <f>IF(V2&gt;0,AF2, "")</f>
        <v/>
      </c>
      <c r="O2" s="434" t="str">
        <f>IF(V2&gt;0,AG2, "")</f>
        <v/>
      </c>
      <c r="P2" s="434" t="str">
        <f>IF(V2&gt;0,AH2, "")</f>
        <v/>
      </c>
      <c r="Q2" s="434" t="str">
        <f>IF(V2&gt;0,AI2, "")</f>
        <v/>
      </c>
      <c r="R2" s="434" t="str">
        <f>IF(V2&gt;0,AJ2, "")</f>
        <v/>
      </c>
      <c r="S2" s="435" t="str" cm="1">
        <f t="array" ref="S2:S3">_xlfn.UNIQUE(AL2:AL96)</f>
        <v/>
      </c>
      <c r="T2" s="436">
        <v>1</v>
      </c>
      <c r="U2" s="437">
        <f t="shared" ref="U2:U33" si="0">VLOOKUP(S2,$AL$1:$BC$96,3,FALSE)</f>
        <v>0</v>
      </c>
      <c r="V2" s="438">
        <f t="shared" ref="V2:V33" si="1">IF(S2="",0,SUMIFS($AO$2:$AO$96,$AL$2:$AL$96,S2))</f>
        <v>0</v>
      </c>
      <c r="W2" s="438">
        <v>1</v>
      </c>
      <c r="X2" s="439">
        <f>U2+W2</f>
        <v>1</v>
      </c>
      <c r="Y2" s="440">
        <f t="shared" ref="Y2:Y33" si="2">VLOOKUP(S2,$AL$1:$BC$96,7,FALSE)</f>
        <v>0</v>
      </c>
      <c r="Z2" s="441">
        <f t="shared" ref="Z2:Z65" si="3">V2*Y2</f>
        <v>0</v>
      </c>
      <c r="AA2" s="442" t="str">
        <f>IFERROR(IF(S2="Mgr. Unit", "Super's Unit",VLOOKUP(S2,$AL$1:$BC$96,9,FALSE)),"")</f>
        <v/>
      </c>
      <c r="AB2" s="443" t="str">
        <f>AA2</f>
        <v/>
      </c>
      <c r="AC2" s="444">
        <f t="shared" ref="AC2:AC33" si="4">VLOOKUP(S2,$AL$1:$BC$96,11,FALSE)</f>
        <v>0</v>
      </c>
      <c r="AD2" s="445">
        <f t="shared" ref="AD2:AD33" si="5">VLOOKUP(S2,$AL$1:$BC$96,12,FALSE)</f>
        <v>0</v>
      </c>
      <c r="AE2" s="446">
        <f t="shared" ref="AE2:AE65" si="6">AC2-AD2</f>
        <v>0</v>
      </c>
      <c r="AF2" s="446">
        <f t="shared" ref="AF2:AF65" si="7">AE2*V2*12</f>
        <v>0</v>
      </c>
      <c r="AG2" s="436">
        <v>0</v>
      </c>
      <c r="AH2" s="447">
        <f t="shared" ref="AH2:AH65" si="8">IF(AG2&gt;0, (AG2-AE2)/AG2, 0)</f>
        <v>0</v>
      </c>
      <c r="AI2" s="436">
        <v>0</v>
      </c>
      <c r="AJ2" s="448">
        <f t="shared" ref="AJ2:AJ65" si="9">IF(AI2&gt;0, (AI2-AE2)/AI2, 0)</f>
        <v>0</v>
      </c>
      <c r="AL2" s="435" t="str">
        <f>IFERROR(_xlfn.CONCAT(AN2," Bedroom - ",TEXT(AT2,"0%")),"")</f>
        <v/>
      </c>
      <c r="AM2" s="436">
        <v>1</v>
      </c>
      <c r="AN2" s="437">
        <f>rents!Q6</f>
        <v>0</v>
      </c>
      <c r="AO2" s="438">
        <v>1</v>
      </c>
      <c r="AP2" s="438">
        <v>1</v>
      </c>
      <c r="AQ2" s="439">
        <f>AN2+AP2</f>
        <v>1</v>
      </c>
      <c r="AR2" s="440">
        <f>rents!R6</f>
        <v>0</v>
      </c>
      <c r="AS2" s="441">
        <f t="shared" ref="AS2:AS65" si="10">AO2*AR2</f>
        <v>0</v>
      </c>
      <c r="AT2" s="442" t="e" cm="1">
        <f t="array" ref="AT2">CONCATENATE(_xlfn.IFS(rents!C6=1,"HTF",rents!D6=1,"HOME",rents!E6=1,"Lead Paint",rents!F6=1,"Project Based Assistance",rents!G6=1,"Tax Credit",rents!H6=1,"VHCB",rents!I6=1,"ADA Mobility",rents!J6=1,"ADA A/V",rents!K6=1, "Adaptable",rents!L6=1,"General",rents!M6=1,"Age Restricted",rents!N6=1,rents!$N$4,rents!O6=1,rents!$O$4,rents!P6=1,"Unrestricted"), ", ",
_xlfn.IFS(rents!V6=1,"30% AMI",rents!W6=1,"40% AMI",rents!X6=1,"50% AMI",rents!Y6=1,"60% AMI",rents!Z6=1,"70% AMI",rents!AA6=1,"80% AMI",rents!AB6=1,"100% AMI",rents!AC6=1,"Market Rate"))</f>
        <v>#N/A</v>
      </c>
      <c r="AU2" s="443" t="e">
        <f>AT2</f>
        <v>#N/A</v>
      </c>
      <c r="AV2" s="444">
        <f>rents!U6</f>
        <v>0</v>
      </c>
      <c r="AW2" s="445">
        <f>rents!T6</f>
        <v>0</v>
      </c>
      <c r="AX2" s="446">
        <f t="shared" ref="AX2:AX65" si="11">AV2-AW2</f>
        <v>0</v>
      </c>
      <c r="AY2" s="446">
        <f t="shared" ref="AY2:AY65" si="12">AX2*AO2*12</f>
        <v>0</v>
      </c>
      <c r="AZ2" s="436">
        <v>0</v>
      </c>
      <c r="BA2" s="447">
        <f t="shared" ref="BA2:BA65" si="13">IF(AZ2&gt;0, (AZ2-AX2)/AZ2, 0)</f>
        <v>0</v>
      </c>
      <c r="BB2" s="436">
        <v>0</v>
      </c>
      <c r="BC2" s="448">
        <f t="shared" ref="BC2:BC65" si="14">IF(BB2&gt;0, (BB2-AX2)/BB2, 0)</f>
        <v>0</v>
      </c>
    </row>
    <row r="3" spans="1:55" ht="14.25" customHeight="1">
      <c r="A3" s="434" t="str">
        <f t="shared" ref="A3:A11" si="15">IF(V3&gt;0,S3, "")</f>
        <v>Mgr. Unit</v>
      </c>
      <c r="B3" s="434">
        <f t="shared" ref="B3:B11" si="16">IF(V3&gt;0,T3, "")</f>
        <v>2</v>
      </c>
      <c r="C3" s="434">
        <f t="shared" ref="C3:C11" si="17">IF(V3&gt;0,U3, "")</f>
        <v>0</v>
      </c>
      <c r="D3" s="434">
        <f t="shared" ref="D3:D11" si="18">IF(V3&gt;0,V3, "")</f>
        <v>1</v>
      </c>
      <c r="E3" s="434">
        <f t="shared" ref="E3:E11" si="19">IF(V3&gt;0,W3, "")</f>
        <v>1</v>
      </c>
      <c r="F3" s="434">
        <f t="shared" ref="F3:F11" si="20">IF(V3&gt;0,X3, "")</f>
        <v>1</v>
      </c>
      <c r="G3" s="434">
        <f t="shared" ref="G3:G11" si="21">IF(V3&gt;0,Y3, "")</f>
        <v>0</v>
      </c>
      <c r="H3" s="434">
        <f t="shared" ref="H3:H11" si="22">IF(V3&gt;0,Z3, "")</f>
        <v>0</v>
      </c>
      <c r="I3" s="434" t="str">
        <f t="shared" ref="I3:I11" si="23">IF(V3&gt;0,AA3, "")</f>
        <v>Super's Unit</v>
      </c>
      <c r="J3" s="434" t="str">
        <f t="shared" ref="J3:J11" si="24">IF(V3&gt;0,AB3, "")</f>
        <v>Super's Unit</v>
      </c>
      <c r="K3" s="434">
        <f t="shared" ref="K3:K66" si="25">IF(V3&gt;0,AC3, "")</f>
        <v>0</v>
      </c>
      <c r="L3" s="434">
        <f t="shared" ref="L3:L11" si="26">IF(V3&gt;0,AD3, "")</f>
        <v>0</v>
      </c>
      <c r="M3" s="434">
        <f t="shared" ref="M3:M11" si="27">IF(V3&gt;0,AE3, "")</f>
        <v>0</v>
      </c>
      <c r="N3" s="434">
        <f t="shared" ref="N3:N11" si="28">IF(V3&gt;0,AF3, "")</f>
        <v>0</v>
      </c>
      <c r="O3" s="434">
        <f t="shared" ref="O3:O11" si="29">IF(V3&gt;0,AG3, "")</f>
        <v>0</v>
      </c>
      <c r="P3" s="434">
        <f t="shared" ref="P3:P11" si="30">IF(V3&gt;0,AH3, "")</f>
        <v>0</v>
      </c>
      <c r="Q3" s="434">
        <f t="shared" ref="Q3:Q11" si="31">IF(V3&gt;0,AI3, "")</f>
        <v>0</v>
      </c>
      <c r="R3" s="434">
        <f t="shared" ref="R3:R11" si="32">IF(V3&gt;0,AJ3, "")</f>
        <v>0</v>
      </c>
      <c r="S3" s="435" t="str">
        <v>Mgr. Unit</v>
      </c>
      <c r="T3" s="436">
        <f t="shared" ref="T3:T66" si="33">T2+1</f>
        <v>2</v>
      </c>
      <c r="U3" s="437">
        <f t="shared" si="0"/>
        <v>0</v>
      </c>
      <c r="V3" s="438">
        <f t="shared" si="1"/>
        <v>1</v>
      </c>
      <c r="W3" s="438">
        <v>1</v>
      </c>
      <c r="X3" s="439">
        <f t="shared" ref="X3:X66" si="34">U3+W3</f>
        <v>1</v>
      </c>
      <c r="Y3" s="440">
        <f t="shared" si="2"/>
        <v>0</v>
      </c>
      <c r="Z3" s="441">
        <f t="shared" si="3"/>
        <v>0</v>
      </c>
      <c r="AA3" s="442" t="str">
        <f t="shared" ref="AA3:AA66" si="35">IFERROR(IF(S3="Mgr. Unit", "Super's Unit",VLOOKUP(S3,$AL$1:$BC$96,9,FALSE)),"")</f>
        <v>Super's Unit</v>
      </c>
      <c r="AB3" s="443" t="str">
        <f t="shared" ref="AB3:AB66" si="36">AA3</f>
        <v>Super's Unit</v>
      </c>
      <c r="AC3" s="444">
        <f t="shared" si="4"/>
        <v>0</v>
      </c>
      <c r="AD3" s="445">
        <f t="shared" si="5"/>
        <v>0</v>
      </c>
      <c r="AE3" s="446">
        <f t="shared" si="6"/>
        <v>0</v>
      </c>
      <c r="AF3" s="446">
        <f t="shared" si="7"/>
        <v>0</v>
      </c>
      <c r="AG3" s="436">
        <v>0</v>
      </c>
      <c r="AH3" s="447">
        <f t="shared" si="8"/>
        <v>0</v>
      </c>
      <c r="AI3" s="436">
        <v>0</v>
      </c>
      <c r="AJ3" s="448">
        <f t="shared" si="9"/>
        <v>0</v>
      </c>
      <c r="AL3" s="435" t="str">
        <f t="shared" ref="AL3:AL66" si="37">IFERROR(_xlfn.CONCAT(AN3," Bedroom - ",TEXT(AT3,"0%")),"")</f>
        <v/>
      </c>
      <c r="AM3" s="436">
        <f t="shared" ref="AM3:AM66" si="38">AM2+1</f>
        <v>2</v>
      </c>
      <c r="AN3" s="437">
        <f>rents!Q7</f>
        <v>0</v>
      </c>
      <c r="AO3" s="438">
        <v>1</v>
      </c>
      <c r="AP3" s="438">
        <v>1</v>
      </c>
      <c r="AQ3" s="439">
        <f t="shared" ref="AQ3:AQ66" si="39">AN3+AP3</f>
        <v>1</v>
      </c>
      <c r="AR3" s="440">
        <f>rents!R7</f>
        <v>0</v>
      </c>
      <c r="AS3" s="441">
        <f t="shared" si="10"/>
        <v>0</v>
      </c>
      <c r="AT3" s="442" t="e" cm="1">
        <f t="array" ref="AT3">CONCATENATE(_xlfn.IFS(rents!C7=1,"HTF",rents!D7=1,"HOME",rents!E7=1,"Lead Paint",rents!F7=1,"Project Based Assistance",rents!G7=1,"Tax Credit",rents!H7=1,"VHCB",rents!I7=1,"ADA Mobility",rents!J7=1,"ADA A/V",rents!K7=1, "Adaptable",rents!L7=1,"General",rents!M7=1,"Age Restricted",rents!N7=1,rents!$N$4,rents!O7=1,rents!$O$4,rents!P7=1,"Unrestricted"), ", ",
_xlfn.IFS(rents!V7=1,"30% AMI",rents!W7=1,"40% AMI",rents!X7=1,"50% AMI",rents!Y7=1,"60% AMI",rents!Z7=1,"70% AMI",rents!AA7=1,"80% AMI",rents!AB7=1,"100% AMI",rents!AC7=1,"Market Rate"))</f>
        <v>#N/A</v>
      </c>
      <c r="AU3" s="443" t="e">
        <f t="shared" ref="AU3:AU66" si="40">AT3</f>
        <v>#N/A</v>
      </c>
      <c r="AV3" s="444">
        <f>rents!U7</f>
        <v>0</v>
      </c>
      <c r="AW3" s="445">
        <f>rents!T7</f>
        <v>0</v>
      </c>
      <c r="AX3" s="446">
        <f t="shared" si="11"/>
        <v>0</v>
      </c>
      <c r="AY3" s="446">
        <f t="shared" si="12"/>
        <v>0</v>
      </c>
      <c r="AZ3" s="436">
        <v>0</v>
      </c>
      <c r="BA3" s="447">
        <f t="shared" si="13"/>
        <v>0</v>
      </c>
      <c r="BB3" s="436">
        <v>0</v>
      </c>
      <c r="BC3" s="448">
        <f t="shared" si="14"/>
        <v>0</v>
      </c>
    </row>
    <row r="4" spans="1:55" ht="14.25" customHeight="1">
      <c r="A4" s="434" t="str">
        <f t="shared" si="15"/>
        <v/>
      </c>
      <c r="B4" s="434" t="str">
        <f t="shared" si="16"/>
        <v/>
      </c>
      <c r="C4" s="434" t="str">
        <f t="shared" si="17"/>
        <v/>
      </c>
      <c r="D4" s="434" t="str">
        <f t="shared" si="18"/>
        <v/>
      </c>
      <c r="E4" s="434" t="str">
        <f t="shared" si="19"/>
        <v/>
      </c>
      <c r="F4" s="434" t="str">
        <f t="shared" si="20"/>
        <v/>
      </c>
      <c r="G4" s="434" t="str">
        <f t="shared" si="21"/>
        <v/>
      </c>
      <c r="H4" s="434" t="str">
        <f t="shared" si="22"/>
        <v/>
      </c>
      <c r="I4" s="434" t="str">
        <f t="shared" si="23"/>
        <v/>
      </c>
      <c r="J4" s="434" t="str">
        <f t="shared" si="24"/>
        <v/>
      </c>
      <c r="K4" s="434" t="str">
        <f t="shared" si="25"/>
        <v/>
      </c>
      <c r="L4" s="434" t="str">
        <f t="shared" si="26"/>
        <v/>
      </c>
      <c r="M4" s="434" t="str">
        <f t="shared" si="27"/>
        <v/>
      </c>
      <c r="N4" s="434" t="str">
        <f t="shared" si="28"/>
        <v/>
      </c>
      <c r="O4" s="434" t="str">
        <f t="shared" si="29"/>
        <v/>
      </c>
      <c r="P4" s="434" t="str">
        <f t="shared" si="30"/>
        <v/>
      </c>
      <c r="Q4" s="434" t="str">
        <f t="shared" si="31"/>
        <v/>
      </c>
      <c r="R4" s="434" t="str">
        <f t="shared" si="32"/>
        <v/>
      </c>
      <c r="S4" s="435"/>
      <c r="T4" s="436">
        <f t="shared" si="33"/>
        <v>3</v>
      </c>
      <c r="U4" s="437" t="e">
        <f t="shared" si="0"/>
        <v>#N/A</v>
      </c>
      <c r="V4" s="438">
        <f t="shared" si="1"/>
        <v>0</v>
      </c>
      <c r="W4" s="438">
        <v>1</v>
      </c>
      <c r="X4" s="439" t="e">
        <f t="shared" si="34"/>
        <v>#N/A</v>
      </c>
      <c r="Y4" s="440" t="e">
        <f t="shared" si="2"/>
        <v>#N/A</v>
      </c>
      <c r="Z4" s="441" t="e">
        <f t="shared" si="3"/>
        <v>#N/A</v>
      </c>
      <c r="AA4" s="442" t="str">
        <f t="shared" si="35"/>
        <v/>
      </c>
      <c r="AB4" s="443" t="str">
        <f t="shared" si="36"/>
        <v/>
      </c>
      <c r="AC4" s="444" t="e">
        <f t="shared" si="4"/>
        <v>#N/A</v>
      </c>
      <c r="AD4" s="445" t="e">
        <f t="shared" si="5"/>
        <v>#N/A</v>
      </c>
      <c r="AE4" s="446" t="e">
        <f t="shared" si="6"/>
        <v>#N/A</v>
      </c>
      <c r="AF4" s="446" t="e">
        <f t="shared" si="7"/>
        <v>#N/A</v>
      </c>
      <c r="AG4" s="436">
        <v>0</v>
      </c>
      <c r="AH4" s="447">
        <f t="shared" si="8"/>
        <v>0</v>
      </c>
      <c r="AI4" s="436">
        <v>0</v>
      </c>
      <c r="AJ4" s="448">
        <f t="shared" si="9"/>
        <v>0</v>
      </c>
      <c r="AL4" s="435" t="str">
        <f t="shared" si="37"/>
        <v/>
      </c>
      <c r="AM4" s="436">
        <f t="shared" si="38"/>
        <v>3</v>
      </c>
      <c r="AN4" s="437">
        <f>rents!Q8</f>
        <v>0</v>
      </c>
      <c r="AO4" s="438">
        <v>1</v>
      </c>
      <c r="AP4" s="438">
        <v>1</v>
      </c>
      <c r="AQ4" s="439">
        <f t="shared" si="39"/>
        <v>1</v>
      </c>
      <c r="AR4" s="440">
        <f>rents!R8</f>
        <v>0</v>
      </c>
      <c r="AS4" s="441">
        <f t="shared" si="10"/>
        <v>0</v>
      </c>
      <c r="AT4" s="442" t="e" cm="1">
        <f t="array" ref="AT4">CONCATENATE(_xlfn.IFS(rents!C8=1,"HTF",rents!D8=1,"HOME",rents!E8=1,"Lead Paint",rents!F8=1,"Project Based Assistance",rents!G8=1,"Tax Credit",rents!H8=1,"VHCB",rents!I8=1,"ADA Mobility",rents!J8=1,"ADA A/V",rents!K8=1, "Adaptable",rents!L8=1,"General",rents!M8=1,"Age Restricted",rents!N8=1,rents!$N$4,rents!O8=1,rents!$O$4,rents!P8=1,"Unrestricted"), ", ",
_xlfn.IFS(rents!V8=1,"30% AMI",rents!W8=1,"40% AMI",rents!X8=1,"50% AMI",rents!Y8=1,"60% AMI",rents!Z8=1,"70% AMI",rents!AA8=1,"80% AMI",rents!AB8=1,"100% AMI",rents!AC8=1,"Market Rate"))</f>
        <v>#N/A</v>
      </c>
      <c r="AU4" s="443" t="e">
        <f t="shared" si="40"/>
        <v>#N/A</v>
      </c>
      <c r="AV4" s="444">
        <f>rents!U8</f>
        <v>0</v>
      </c>
      <c r="AW4" s="445">
        <f>rents!T8</f>
        <v>0</v>
      </c>
      <c r="AX4" s="446">
        <f t="shared" si="11"/>
        <v>0</v>
      </c>
      <c r="AY4" s="446">
        <f t="shared" si="12"/>
        <v>0</v>
      </c>
      <c r="AZ4" s="436">
        <v>0</v>
      </c>
      <c r="BA4" s="447">
        <f t="shared" si="13"/>
        <v>0</v>
      </c>
      <c r="BB4" s="436">
        <v>0</v>
      </c>
      <c r="BC4" s="448">
        <f t="shared" si="14"/>
        <v>0</v>
      </c>
    </row>
    <row r="5" spans="1:55" ht="14.25" customHeight="1">
      <c r="A5" s="434" t="str">
        <f t="shared" si="15"/>
        <v/>
      </c>
      <c r="B5" s="434" t="str">
        <f t="shared" si="16"/>
        <v/>
      </c>
      <c r="C5" s="434" t="str">
        <f t="shared" si="17"/>
        <v/>
      </c>
      <c r="D5" s="434" t="str">
        <f t="shared" si="18"/>
        <v/>
      </c>
      <c r="E5" s="434" t="str">
        <f t="shared" si="19"/>
        <v/>
      </c>
      <c r="F5" s="434" t="str">
        <f t="shared" si="20"/>
        <v/>
      </c>
      <c r="G5" s="434" t="str">
        <f t="shared" si="21"/>
        <v/>
      </c>
      <c r="H5" s="434" t="str">
        <f t="shared" si="22"/>
        <v/>
      </c>
      <c r="I5" s="434" t="str">
        <f t="shared" si="23"/>
        <v/>
      </c>
      <c r="J5" s="434" t="str">
        <f t="shared" si="24"/>
        <v/>
      </c>
      <c r="K5" s="434" t="str">
        <f t="shared" si="25"/>
        <v/>
      </c>
      <c r="L5" s="434" t="str">
        <f t="shared" si="26"/>
        <v/>
      </c>
      <c r="M5" s="434" t="str">
        <f t="shared" si="27"/>
        <v/>
      </c>
      <c r="N5" s="434" t="str">
        <f t="shared" si="28"/>
        <v/>
      </c>
      <c r="O5" s="434" t="str">
        <f t="shared" si="29"/>
        <v/>
      </c>
      <c r="P5" s="434" t="str">
        <f t="shared" si="30"/>
        <v/>
      </c>
      <c r="Q5" s="434" t="str">
        <f t="shared" si="31"/>
        <v/>
      </c>
      <c r="R5" s="434" t="str">
        <f t="shared" si="32"/>
        <v/>
      </c>
      <c r="S5" s="435"/>
      <c r="T5" s="436">
        <f t="shared" si="33"/>
        <v>4</v>
      </c>
      <c r="U5" s="437" t="e">
        <f t="shared" si="0"/>
        <v>#N/A</v>
      </c>
      <c r="V5" s="438">
        <f t="shared" si="1"/>
        <v>0</v>
      </c>
      <c r="W5" s="438">
        <v>1</v>
      </c>
      <c r="X5" s="439" t="e">
        <f t="shared" si="34"/>
        <v>#N/A</v>
      </c>
      <c r="Y5" s="440" t="e">
        <f t="shared" si="2"/>
        <v>#N/A</v>
      </c>
      <c r="Z5" s="441" t="e">
        <f t="shared" si="3"/>
        <v>#N/A</v>
      </c>
      <c r="AA5" s="442" t="str">
        <f t="shared" si="35"/>
        <v/>
      </c>
      <c r="AB5" s="443" t="str">
        <f t="shared" si="36"/>
        <v/>
      </c>
      <c r="AC5" s="444" t="e">
        <f t="shared" si="4"/>
        <v>#N/A</v>
      </c>
      <c r="AD5" s="445" t="e">
        <f t="shared" si="5"/>
        <v>#N/A</v>
      </c>
      <c r="AE5" s="446" t="e">
        <f t="shared" si="6"/>
        <v>#N/A</v>
      </c>
      <c r="AF5" s="446" t="e">
        <f t="shared" si="7"/>
        <v>#N/A</v>
      </c>
      <c r="AG5" s="436">
        <v>0</v>
      </c>
      <c r="AH5" s="447">
        <f t="shared" si="8"/>
        <v>0</v>
      </c>
      <c r="AI5" s="436">
        <v>0</v>
      </c>
      <c r="AJ5" s="448">
        <f t="shared" si="9"/>
        <v>0</v>
      </c>
      <c r="AL5" s="435" t="str">
        <f t="shared" si="37"/>
        <v/>
      </c>
      <c r="AM5" s="436">
        <f t="shared" si="38"/>
        <v>4</v>
      </c>
      <c r="AN5" s="437">
        <f>rents!Q9</f>
        <v>0</v>
      </c>
      <c r="AO5" s="438">
        <v>1</v>
      </c>
      <c r="AP5" s="438">
        <v>1</v>
      </c>
      <c r="AQ5" s="439">
        <f t="shared" si="39"/>
        <v>1</v>
      </c>
      <c r="AR5" s="440">
        <f>rents!R9</f>
        <v>0</v>
      </c>
      <c r="AS5" s="441">
        <f t="shared" si="10"/>
        <v>0</v>
      </c>
      <c r="AT5" s="442" t="e" cm="1">
        <f t="array" ref="AT5">CONCATENATE(_xlfn.IFS(rents!C9=1,"HTF",rents!D9=1,"HOME",rents!E9=1,"Lead Paint",rents!F9=1,"Project Based Assistance",rents!G9=1,"Tax Credit",rents!H9=1,"VHCB",rents!I9=1,"ADA Mobility",rents!J9=1,"ADA A/V",rents!K9=1, "Adaptable",rents!L9=1,"General",rents!M9=1,"Age Restricted",rents!N9=1,rents!$N$4,rents!O9=1,rents!$O$4,rents!P9=1,"Unrestricted"), ", ",
_xlfn.IFS(rents!V9=1,"30% AMI",rents!W9=1,"40% AMI",rents!X9=1,"50% AMI",rents!Y9=1,"60% AMI",rents!Z9=1,"70% AMI",rents!AA9=1,"80% AMI",rents!AB9=1,"100% AMI",rents!AC9=1,"Market Rate"))</f>
        <v>#N/A</v>
      </c>
      <c r="AU5" s="443" t="e">
        <f t="shared" si="40"/>
        <v>#N/A</v>
      </c>
      <c r="AV5" s="444">
        <f>rents!U9</f>
        <v>0</v>
      </c>
      <c r="AW5" s="445">
        <f>rents!T9</f>
        <v>0</v>
      </c>
      <c r="AX5" s="446">
        <f t="shared" si="11"/>
        <v>0</v>
      </c>
      <c r="AY5" s="446">
        <f t="shared" si="12"/>
        <v>0</v>
      </c>
      <c r="AZ5" s="436">
        <v>0</v>
      </c>
      <c r="BA5" s="447">
        <f t="shared" si="13"/>
        <v>0</v>
      </c>
      <c r="BB5" s="436">
        <v>0</v>
      </c>
      <c r="BC5" s="448">
        <f t="shared" si="14"/>
        <v>0</v>
      </c>
    </row>
    <row r="6" spans="1:55" ht="14.25" customHeight="1">
      <c r="A6" s="434" t="str">
        <f t="shared" si="15"/>
        <v/>
      </c>
      <c r="B6" s="434" t="str">
        <f t="shared" si="16"/>
        <v/>
      </c>
      <c r="C6" s="434" t="str">
        <f t="shared" si="17"/>
        <v/>
      </c>
      <c r="D6" s="434" t="str">
        <f t="shared" si="18"/>
        <v/>
      </c>
      <c r="E6" s="434" t="str">
        <f t="shared" si="19"/>
        <v/>
      </c>
      <c r="F6" s="434" t="str">
        <f t="shared" si="20"/>
        <v/>
      </c>
      <c r="G6" s="434" t="str">
        <f t="shared" si="21"/>
        <v/>
      </c>
      <c r="H6" s="434" t="str">
        <f t="shared" si="22"/>
        <v/>
      </c>
      <c r="I6" s="434" t="str">
        <f t="shared" si="23"/>
        <v/>
      </c>
      <c r="J6" s="434" t="str">
        <f t="shared" si="24"/>
        <v/>
      </c>
      <c r="K6" s="434" t="str">
        <f t="shared" si="25"/>
        <v/>
      </c>
      <c r="L6" s="434" t="str">
        <f t="shared" si="26"/>
        <v/>
      </c>
      <c r="M6" s="434" t="str">
        <f t="shared" si="27"/>
        <v/>
      </c>
      <c r="N6" s="434" t="str">
        <f t="shared" si="28"/>
        <v/>
      </c>
      <c r="O6" s="434" t="str">
        <f t="shared" si="29"/>
        <v/>
      </c>
      <c r="P6" s="434" t="str">
        <f t="shared" si="30"/>
        <v/>
      </c>
      <c r="Q6" s="434" t="str">
        <f t="shared" si="31"/>
        <v/>
      </c>
      <c r="R6" s="434" t="str">
        <f t="shared" si="32"/>
        <v/>
      </c>
      <c r="S6" s="435"/>
      <c r="T6" s="436">
        <f t="shared" si="33"/>
        <v>5</v>
      </c>
      <c r="U6" s="437" t="e">
        <f t="shared" si="0"/>
        <v>#N/A</v>
      </c>
      <c r="V6" s="438">
        <f t="shared" si="1"/>
        <v>0</v>
      </c>
      <c r="W6" s="438">
        <v>1</v>
      </c>
      <c r="X6" s="439" t="e">
        <f t="shared" si="34"/>
        <v>#N/A</v>
      </c>
      <c r="Y6" s="440" t="e">
        <f t="shared" si="2"/>
        <v>#N/A</v>
      </c>
      <c r="Z6" s="441" t="e">
        <f t="shared" si="3"/>
        <v>#N/A</v>
      </c>
      <c r="AA6" s="442" t="str">
        <f t="shared" si="35"/>
        <v/>
      </c>
      <c r="AB6" s="443" t="str">
        <f t="shared" si="36"/>
        <v/>
      </c>
      <c r="AC6" s="444" t="e">
        <f t="shared" si="4"/>
        <v>#N/A</v>
      </c>
      <c r="AD6" s="445" t="e">
        <f t="shared" si="5"/>
        <v>#N/A</v>
      </c>
      <c r="AE6" s="446" t="e">
        <f t="shared" si="6"/>
        <v>#N/A</v>
      </c>
      <c r="AF6" s="446" t="e">
        <f t="shared" si="7"/>
        <v>#N/A</v>
      </c>
      <c r="AG6" s="436">
        <v>0</v>
      </c>
      <c r="AH6" s="447">
        <f t="shared" si="8"/>
        <v>0</v>
      </c>
      <c r="AI6" s="436">
        <v>0</v>
      </c>
      <c r="AJ6" s="448">
        <f t="shared" si="9"/>
        <v>0</v>
      </c>
      <c r="AL6" s="435" t="str">
        <f t="shared" si="37"/>
        <v/>
      </c>
      <c r="AM6" s="436">
        <f t="shared" si="38"/>
        <v>5</v>
      </c>
      <c r="AN6" s="437">
        <f>rents!Q10</f>
        <v>0</v>
      </c>
      <c r="AO6" s="438">
        <v>1</v>
      </c>
      <c r="AP6" s="438">
        <v>1</v>
      </c>
      <c r="AQ6" s="439">
        <f t="shared" si="39"/>
        <v>1</v>
      </c>
      <c r="AR6" s="440">
        <f>rents!R10</f>
        <v>0</v>
      </c>
      <c r="AS6" s="441">
        <f t="shared" si="10"/>
        <v>0</v>
      </c>
      <c r="AT6" s="442" t="e" cm="1">
        <f t="array" ref="AT6">CONCATENATE(_xlfn.IFS(rents!C10=1,"HTF",rents!D10=1,"HOME",rents!E10=1,"Lead Paint",rents!F10=1,"Project Based Assistance",rents!G10=1,"Tax Credit",rents!H10=1,"VHCB",rents!I10=1,"ADA Mobility",rents!J10=1,"ADA A/V",rents!K10=1, "Adaptable",rents!L10=1,"General",rents!M10=1,"Age Restricted",rents!N10=1,rents!$N$4,rents!O10=1,rents!$O$4,rents!P10=1,"Unrestricted"), ", ",
_xlfn.IFS(rents!V10=1,"30% AMI",rents!W10=1,"40% AMI",rents!X10=1,"50% AMI",rents!Y10=1,"60% AMI",rents!Z10=1,"70% AMI",rents!AA10=1,"80% AMI",rents!AB10=1,"100% AMI",rents!AC10=1,"Market Rate"))</f>
        <v>#N/A</v>
      </c>
      <c r="AU6" s="443" t="e">
        <f t="shared" si="40"/>
        <v>#N/A</v>
      </c>
      <c r="AV6" s="444">
        <f>rents!U10</f>
        <v>0</v>
      </c>
      <c r="AW6" s="445">
        <f>rents!T10</f>
        <v>0</v>
      </c>
      <c r="AX6" s="446">
        <f t="shared" si="11"/>
        <v>0</v>
      </c>
      <c r="AY6" s="446">
        <f t="shared" si="12"/>
        <v>0</v>
      </c>
      <c r="AZ6" s="436">
        <v>0</v>
      </c>
      <c r="BA6" s="447">
        <f t="shared" si="13"/>
        <v>0</v>
      </c>
      <c r="BB6" s="436">
        <v>0</v>
      </c>
      <c r="BC6" s="448">
        <f t="shared" si="14"/>
        <v>0</v>
      </c>
    </row>
    <row r="7" spans="1:55" ht="14.25" customHeight="1">
      <c r="A7" s="434" t="str">
        <f t="shared" si="15"/>
        <v/>
      </c>
      <c r="B7" s="434" t="str">
        <f t="shared" si="16"/>
        <v/>
      </c>
      <c r="C7" s="434" t="str">
        <f t="shared" si="17"/>
        <v/>
      </c>
      <c r="D7" s="434" t="str">
        <f t="shared" si="18"/>
        <v/>
      </c>
      <c r="E7" s="434" t="str">
        <f t="shared" si="19"/>
        <v/>
      </c>
      <c r="F7" s="434" t="str">
        <f t="shared" si="20"/>
        <v/>
      </c>
      <c r="G7" s="434" t="str">
        <f t="shared" si="21"/>
        <v/>
      </c>
      <c r="H7" s="434" t="str">
        <f t="shared" si="22"/>
        <v/>
      </c>
      <c r="I7" s="434" t="str">
        <f t="shared" si="23"/>
        <v/>
      </c>
      <c r="J7" s="434" t="str">
        <f t="shared" si="24"/>
        <v/>
      </c>
      <c r="K7" s="434" t="str">
        <f t="shared" si="25"/>
        <v/>
      </c>
      <c r="L7" s="434" t="str">
        <f t="shared" si="26"/>
        <v/>
      </c>
      <c r="M7" s="434" t="str">
        <f t="shared" si="27"/>
        <v/>
      </c>
      <c r="N7" s="434" t="str">
        <f t="shared" si="28"/>
        <v/>
      </c>
      <c r="O7" s="434" t="str">
        <f t="shared" si="29"/>
        <v/>
      </c>
      <c r="P7" s="434" t="str">
        <f t="shared" si="30"/>
        <v/>
      </c>
      <c r="Q7" s="434" t="str">
        <f t="shared" si="31"/>
        <v/>
      </c>
      <c r="R7" s="434" t="str">
        <f t="shared" si="32"/>
        <v/>
      </c>
      <c r="S7" s="435"/>
      <c r="T7" s="436">
        <f t="shared" si="33"/>
        <v>6</v>
      </c>
      <c r="U7" s="437" t="e">
        <f t="shared" si="0"/>
        <v>#N/A</v>
      </c>
      <c r="V7" s="438">
        <f t="shared" si="1"/>
        <v>0</v>
      </c>
      <c r="W7" s="438">
        <v>1</v>
      </c>
      <c r="X7" s="439" t="e">
        <f t="shared" si="34"/>
        <v>#N/A</v>
      </c>
      <c r="Y7" s="440" t="e">
        <f t="shared" si="2"/>
        <v>#N/A</v>
      </c>
      <c r="Z7" s="441" t="e">
        <f t="shared" si="3"/>
        <v>#N/A</v>
      </c>
      <c r="AA7" s="442" t="str">
        <f t="shared" si="35"/>
        <v/>
      </c>
      <c r="AB7" s="443" t="str">
        <f t="shared" si="36"/>
        <v/>
      </c>
      <c r="AC7" s="444" t="e">
        <f t="shared" si="4"/>
        <v>#N/A</v>
      </c>
      <c r="AD7" s="445" t="e">
        <f t="shared" si="5"/>
        <v>#N/A</v>
      </c>
      <c r="AE7" s="446" t="e">
        <f t="shared" si="6"/>
        <v>#N/A</v>
      </c>
      <c r="AF7" s="446" t="e">
        <f t="shared" si="7"/>
        <v>#N/A</v>
      </c>
      <c r="AG7" s="436">
        <v>0</v>
      </c>
      <c r="AH7" s="447">
        <f t="shared" si="8"/>
        <v>0</v>
      </c>
      <c r="AI7" s="436">
        <v>0</v>
      </c>
      <c r="AJ7" s="448">
        <f t="shared" si="9"/>
        <v>0</v>
      </c>
      <c r="AL7" s="435" t="str">
        <f t="shared" si="37"/>
        <v/>
      </c>
      <c r="AM7" s="436">
        <f t="shared" si="38"/>
        <v>6</v>
      </c>
      <c r="AN7" s="437">
        <f>rents!Q11</f>
        <v>0</v>
      </c>
      <c r="AO7" s="438">
        <v>1</v>
      </c>
      <c r="AP7" s="438">
        <v>1</v>
      </c>
      <c r="AQ7" s="439">
        <f t="shared" si="39"/>
        <v>1</v>
      </c>
      <c r="AR7" s="440">
        <f>rents!R11</f>
        <v>0</v>
      </c>
      <c r="AS7" s="441">
        <f t="shared" si="10"/>
        <v>0</v>
      </c>
      <c r="AT7" s="442" t="e" cm="1">
        <f t="array" ref="AT7">CONCATENATE(_xlfn.IFS(rents!C11=1,"HTF",rents!D11=1,"HOME",rents!E11=1,"Lead Paint",rents!F11=1,"Project Based Assistance",rents!G11=1,"Tax Credit",rents!H11=1,"VHCB",rents!I11=1,"ADA Mobility",rents!J11=1,"ADA A/V",rents!K11=1, "Adaptable",rents!L11=1,"General",rents!M11=1,"Age Restricted",rents!N11=1,rents!$N$4,rents!O11=1,rents!$O$4,rents!P11=1,"Unrestricted"), ", ",
_xlfn.IFS(rents!V11=1,"30% AMI",rents!W11=1,"40% AMI",rents!X11=1,"50% AMI",rents!Y11=1,"60% AMI",rents!Z11=1,"70% AMI",rents!AA11=1,"80% AMI",rents!AB11=1,"100% AMI",rents!AC11=1,"Market Rate"))</f>
        <v>#N/A</v>
      </c>
      <c r="AU7" s="443" t="e">
        <f t="shared" si="40"/>
        <v>#N/A</v>
      </c>
      <c r="AV7" s="444">
        <f>rents!U11</f>
        <v>0</v>
      </c>
      <c r="AW7" s="445">
        <f>rents!T11</f>
        <v>0</v>
      </c>
      <c r="AX7" s="446">
        <f t="shared" si="11"/>
        <v>0</v>
      </c>
      <c r="AY7" s="446">
        <f t="shared" si="12"/>
        <v>0</v>
      </c>
      <c r="AZ7" s="436">
        <v>0</v>
      </c>
      <c r="BA7" s="447">
        <f t="shared" si="13"/>
        <v>0</v>
      </c>
      <c r="BB7" s="436">
        <v>0</v>
      </c>
      <c r="BC7" s="448">
        <f t="shared" si="14"/>
        <v>0</v>
      </c>
    </row>
    <row r="8" spans="1:55" ht="14.25" customHeight="1">
      <c r="A8" s="434" t="str">
        <f t="shared" si="15"/>
        <v/>
      </c>
      <c r="B8" s="434" t="str">
        <f t="shared" si="16"/>
        <v/>
      </c>
      <c r="C8" s="434" t="str">
        <f t="shared" si="17"/>
        <v/>
      </c>
      <c r="D8" s="434" t="str">
        <f t="shared" si="18"/>
        <v/>
      </c>
      <c r="E8" s="434" t="str">
        <f t="shared" si="19"/>
        <v/>
      </c>
      <c r="F8" s="434" t="str">
        <f t="shared" si="20"/>
        <v/>
      </c>
      <c r="G8" s="434" t="str">
        <f t="shared" si="21"/>
        <v/>
      </c>
      <c r="H8" s="434" t="str">
        <f t="shared" si="22"/>
        <v/>
      </c>
      <c r="I8" s="434" t="str">
        <f t="shared" si="23"/>
        <v/>
      </c>
      <c r="J8" s="434" t="str">
        <f t="shared" si="24"/>
        <v/>
      </c>
      <c r="K8" s="434" t="str">
        <f t="shared" si="25"/>
        <v/>
      </c>
      <c r="L8" s="434" t="str">
        <f t="shared" si="26"/>
        <v/>
      </c>
      <c r="M8" s="434" t="str">
        <f t="shared" si="27"/>
        <v/>
      </c>
      <c r="N8" s="434" t="str">
        <f t="shared" si="28"/>
        <v/>
      </c>
      <c r="O8" s="434" t="str">
        <f t="shared" si="29"/>
        <v/>
      </c>
      <c r="P8" s="434" t="str">
        <f t="shared" si="30"/>
        <v/>
      </c>
      <c r="Q8" s="434" t="str">
        <f t="shared" si="31"/>
        <v/>
      </c>
      <c r="R8" s="434" t="str">
        <f t="shared" si="32"/>
        <v/>
      </c>
      <c r="S8" s="435"/>
      <c r="T8" s="436">
        <f t="shared" si="33"/>
        <v>7</v>
      </c>
      <c r="U8" s="437" t="e">
        <f t="shared" si="0"/>
        <v>#N/A</v>
      </c>
      <c r="V8" s="438">
        <f t="shared" si="1"/>
        <v>0</v>
      </c>
      <c r="W8" s="438">
        <v>1</v>
      </c>
      <c r="X8" s="439" t="e">
        <f t="shared" si="34"/>
        <v>#N/A</v>
      </c>
      <c r="Y8" s="440" t="e">
        <f t="shared" si="2"/>
        <v>#N/A</v>
      </c>
      <c r="Z8" s="441" t="e">
        <f t="shared" si="3"/>
        <v>#N/A</v>
      </c>
      <c r="AA8" s="442" t="str">
        <f t="shared" si="35"/>
        <v/>
      </c>
      <c r="AB8" s="443" t="str">
        <f t="shared" si="36"/>
        <v/>
      </c>
      <c r="AC8" s="444" t="e">
        <f t="shared" si="4"/>
        <v>#N/A</v>
      </c>
      <c r="AD8" s="445" t="e">
        <f t="shared" si="5"/>
        <v>#N/A</v>
      </c>
      <c r="AE8" s="446" t="e">
        <f t="shared" si="6"/>
        <v>#N/A</v>
      </c>
      <c r="AF8" s="446" t="e">
        <f t="shared" si="7"/>
        <v>#N/A</v>
      </c>
      <c r="AG8" s="436">
        <v>0</v>
      </c>
      <c r="AH8" s="447">
        <f t="shared" si="8"/>
        <v>0</v>
      </c>
      <c r="AI8" s="436">
        <v>0</v>
      </c>
      <c r="AJ8" s="448">
        <f t="shared" si="9"/>
        <v>0</v>
      </c>
      <c r="AL8" s="435" t="str">
        <f t="shared" si="37"/>
        <v/>
      </c>
      <c r="AM8" s="436">
        <f t="shared" si="38"/>
        <v>7</v>
      </c>
      <c r="AN8" s="437">
        <f>rents!Q12</f>
        <v>0</v>
      </c>
      <c r="AO8" s="438">
        <v>1</v>
      </c>
      <c r="AP8" s="438">
        <v>1</v>
      </c>
      <c r="AQ8" s="439">
        <f t="shared" si="39"/>
        <v>1</v>
      </c>
      <c r="AR8" s="440">
        <f>rents!R12</f>
        <v>0</v>
      </c>
      <c r="AS8" s="441">
        <f t="shared" si="10"/>
        <v>0</v>
      </c>
      <c r="AT8" s="442" t="e" cm="1">
        <f t="array" ref="AT8">CONCATENATE(_xlfn.IFS(rents!C12=1,"HTF",rents!D12=1,"HOME",rents!E12=1,"Lead Paint",rents!F12=1,"Project Based Assistance",rents!G12=1,"Tax Credit",rents!H12=1,"VHCB",rents!I12=1,"ADA Mobility",rents!J12=1,"ADA A/V",rents!K12=1, "Adaptable",rents!L12=1,"General",rents!M12=1,"Age Restricted",rents!N12=1,rents!$N$4,rents!O12=1,rents!$O$4,rents!P12=1,"Unrestricted"), ", ",
_xlfn.IFS(rents!V12=1,"30% AMI",rents!W12=1,"40% AMI",rents!X12=1,"50% AMI",rents!Y12=1,"60% AMI",rents!Z12=1,"70% AMI",rents!AA12=1,"80% AMI",rents!AB12=1,"100% AMI",rents!AC12=1,"Market Rate"))</f>
        <v>#N/A</v>
      </c>
      <c r="AU8" s="443" t="e">
        <f t="shared" si="40"/>
        <v>#N/A</v>
      </c>
      <c r="AV8" s="444">
        <f>rents!U12</f>
        <v>0</v>
      </c>
      <c r="AW8" s="445">
        <f>rents!T12</f>
        <v>0</v>
      </c>
      <c r="AX8" s="446">
        <f t="shared" si="11"/>
        <v>0</v>
      </c>
      <c r="AY8" s="446">
        <f t="shared" si="12"/>
        <v>0</v>
      </c>
      <c r="AZ8" s="436">
        <v>0</v>
      </c>
      <c r="BA8" s="447">
        <f t="shared" si="13"/>
        <v>0</v>
      </c>
      <c r="BB8" s="436">
        <v>0</v>
      </c>
      <c r="BC8" s="448">
        <f t="shared" si="14"/>
        <v>0</v>
      </c>
    </row>
    <row r="9" spans="1:55" ht="14.25" customHeight="1">
      <c r="A9" s="434" t="str">
        <f t="shared" si="15"/>
        <v/>
      </c>
      <c r="B9" s="434" t="str">
        <f t="shared" si="16"/>
        <v/>
      </c>
      <c r="C9" s="434" t="str">
        <f t="shared" si="17"/>
        <v/>
      </c>
      <c r="D9" s="434" t="str">
        <f t="shared" si="18"/>
        <v/>
      </c>
      <c r="E9" s="434" t="str">
        <f t="shared" si="19"/>
        <v/>
      </c>
      <c r="F9" s="434" t="str">
        <f t="shared" si="20"/>
        <v/>
      </c>
      <c r="G9" s="434" t="str">
        <f t="shared" si="21"/>
        <v/>
      </c>
      <c r="H9" s="434" t="str">
        <f t="shared" si="22"/>
        <v/>
      </c>
      <c r="I9" s="434" t="str">
        <f t="shared" si="23"/>
        <v/>
      </c>
      <c r="J9" s="434" t="str">
        <f t="shared" si="24"/>
        <v/>
      </c>
      <c r="K9" s="434" t="str">
        <f t="shared" si="25"/>
        <v/>
      </c>
      <c r="L9" s="434" t="str">
        <f t="shared" si="26"/>
        <v/>
      </c>
      <c r="M9" s="434" t="str">
        <f t="shared" si="27"/>
        <v/>
      </c>
      <c r="N9" s="434" t="str">
        <f t="shared" si="28"/>
        <v/>
      </c>
      <c r="O9" s="434" t="str">
        <f t="shared" si="29"/>
        <v/>
      </c>
      <c r="P9" s="434" t="str">
        <f t="shared" si="30"/>
        <v/>
      </c>
      <c r="Q9" s="434" t="str">
        <f t="shared" si="31"/>
        <v/>
      </c>
      <c r="R9" s="434" t="str">
        <f t="shared" si="32"/>
        <v/>
      </c>
      <c r="S9" s="435"/>
      <c r="T9" s="436">
        <f t="shared" si="33"/>
        <v>8</v>
      </c>
      <c r="U9" s="437" t="e">
        <f t="shared" si="0"/>
        <v>#N/A</v>
      </c>
      <c r="V9" s="438">
        <f t="shared" si="1"/>
        <v>0</v>
      </c>
      <c r="W9" s="438">
        <v>1</v>
      </c>
      <c r="X9" s="439" t="e">
        <f t="shared" si="34"/>
        <v>#N/A</v>
      </c>
      <c r="Y9" s="440" t="e">
        <f t="shared" si="2"/>
        <v>#N/A</v>
      </c>
      <c r="Z9" s="441" t="e">
        <f t="shared" si="3"/>
        <v>#N/A</v>
      </c>
      <c r="AA9" s="442" t="str">
        <f t="shared" si="35"/>
        <v/>
      </c>
      <c r="AB9" s="443" t="str">
        <f t="shared" si="36"/>
        <v/>
      </c>
      <c r="AC9" s="444" t="e">
        <f t="shared" si="4"/>
        <v>#N/A</v>
      </c>
      <c r="AD9" s="445" t="e">
        <f t="shared" si="5"/>
        <v>#N/A</v>
      </c>
      <c r="AE9" s="446" t="e">
        <f t="shared" si="6"/>
        <v>#N/A</v>
      </c>
      <c r="AF9" s="446" t="e">
        <f t="shared" si="7"/>
        <v>#N/A</v>
      </c>
      <c r="AG9" s="436">
        <v>0</v>
      </c>
      <c r="AH9" s="447">
        <f t="shared" si="8"/>
        <v>0</v>
      </c>
      <c r="AI9" s="436">
        <v>0</v>
      </c>
      <c r="AJ9" s="448">
        <f t="shared" si="9"/>
        <v>0</v>
      </c>
      <c r="AL9" s="435" t="str">
        <f t="shared" si="37"/>
        <v/>
      </c>
      <c r="AM9" s="436">
        <f t="shared" si="38"/>
        <v>8</v>
      </c>
      <c r="AN9" s="437">
        <f>rents!Q13</f>
        <v>0</v>
      </c>
      <c r="AO9" s="438">
        <v>1</v>
      </c>
      <c r="AP9" s="438">
        <v>1</v>
      </c>
      <c r="AQ9" s="439">
        <f t="shared" si="39"/>
        <v>1</v>
      </c>
      <c r="AR9" s="440">
        <f>rents!R13</f>
        <v>0</v>
      </c>
      <c r="AS9" s="441">
        <f t="shared" si="10"/>
        <v>0</v>
      </c>
      <c r="AT9" s="442" t="e" cm="1">
        <f t="array" ref="AT9">CONCATENATE(_xlfn.IFS(rents!C13=1,"HTF",rents!D13=1,"HOME",rents!E13=1,"Lead Paint",rents!F13=1,"Project Based Assistance",rents!G13=1,"Tax Credit",rents!H13=1,"VHCB",rents!I13=1,"ADA Mobility",rents!J13=1,"ADA A/V",rents!K13=1, "Adaptable",rents!L13=1,"General",rents!M13=1,"Age Restricted",rents!N13=1,rents!$N$4,rents!O13=1,rents!$O$4,rents!P13=1,"Unrestricted"), ", ",
_xlfn.IFS(rents!V13=1,"30% AMI",rents!W13=1,"40% AMI",rents!X13=1,"50% AMI",rents!Y13=1,"60% AMI",rents!Z13=1,"70% AMI",rents!AA13=1,"80% AMI",rents!AB13=1,"100% AMI",rents!AC13=1,"Market Rate"))</f>
        <v>#N/A</v>
      </c>
      <c r="AU9" s="443" t="e">
        <f t="shared" si="40"/>
        <v>#N/A</v>
      </c>
      <c r="AV9" s="444">
        <f>rents!U13</f>
        <v>0</v>
      </c>
      <c r="AW9" s="445">
        <f>rents!T13</f>
        <v>0</v>
      </c>
      <c r="AX9" s="446">
        <f t="shared" si="11"/>
        <v>0</v>
      </c>
      <c r="AY9" s="446">
        <f t="shared" si="12"/>
        <v>0</v>
      </c>
      <c r="AZ9" s="436">
        <v>0</v>
      </c>
      <c r="BA9" s="447">
        <f t="shared" si="13"/>
        <v>0</v>
      </c>
      <c r="BB9" s="436">
        <v>0</v>
      </c>
      <c r="BC9" s="448">
        <f t="shared" si="14"/>
        <v>0</v>
      </c>
    </row>
    <row r="10" spans="1:55" ht="14.25" customHeight="1">
      <c r="A10" s="434" t="str">
        <f t="shared" si="15"/>
        <v/>
      </c>
      <c r="B10" s="434" t="str">
        <f t="shared" si="16"/>
        <v/>
      </c>
      <c r="C10" s="434" t="str">
        <f t="shared" si="17"/>
        <v/>
      </c>
      <c r="D10" s="434" t="str">
        <f t="shared" si="18"/>
        <v/>
      </c>
      <c r="E10" s="434" t="str">
        <f t="shared" si="19"/>
        <v/>
      </c>
      <c r="F10" s="434" t="str">
        <f t="shared" si="20"/>
        <v/>
      </c>
      <c r="G10" s="434" t="str">
        <f t="shared" si="21"/>
        <v/>
      </c>
      <c r="H10" s="434" t="str">
        <f t="shared" si="22"/>
        <v/>
      </c>
      <c r="I10" s="434" t="str">
        <f t="shared" si="23"/>
        <v/>
      </c>
      <c r="J10" s="434" t="str">
        <f t="shared" si="24"/>
        <v/>
      </c>
      <c r="K10" s="434" t="str">
        <f t="shared" si="25"/>
        <v/>
      </c>
      <c r="L10" s="434" t="str">
        <f t="shared" si="26"/>
        <v/>
      </c>
      <c r="M10" s="434" t="str">
        <f t="shared" si="27"/>
        <v/>
      </c>
      <c r="N10" s="434" t="str">
        <f t="shared" si="28"/>
        <v/>
      </c>
      <c r="O10" s="434" t="str">
        <f t="shared" si="29"/>
        <v/>
      </c>
      <c r="P10" s="434" t="str">
        <f t="shared" si="30"/>
        <v/>
      </c>
      <c r="Q10" s="434" t="str">
        <f t="shared" si="31"/>
        <v/>
      </c>
      <c r="R10" s="434" t="str">
        <f t="shared" si="32"/>
        <v/>
      </c>
      <c r="S10" s="435"/>
      <c r="T10" s="436">
        <f t="shared" si="33"/>
        <v>9</v>
      </c>
      <c r="U10" s="437" t="e">
        <f t="shared" si="0"/>
        <v>#N/A</v>
      </c>
      <c r="V10" s="438">
        <f t="shared" si="1"/>
        <v>0</v>
      </c>
      <c r="W10" s="438">
        <v>1</v>
      </c>
      <c r="X10" s="439" t="e">
        <f t="shared" si="34"/>
        <v>#N/A</v>
      </c>
      <c r="Y10" s="440" t="e">
        <f t="shared" si="2"/>
        <v>#N/A</v>
      </c>
      <c r="Z10" s="441" t="e">
        <f t="shared" si="3"/>
        <v>#N/A</v>
      </c>
      <c r="AA10" s="442" t="str">
        <f t="shared" si="35"/>
        <v/>
      </c>
      <c r="AB10" s="443" t="str">
        <f t="shared" si="36"/>
        <v/>
      </c>
      <c r="AC10" s="444" t="e">
        <f t="shared" si="4"/>
        <v>#N/A</v>
      </c>
      <c r="AD10" s="445" t="e">
        <f t="shared" si="5"/>
        <v>#N/A</v>
      </c>
      <c r="AE10" s="446" t="e">
        <f t="shared" si="6"/>
        <v>#N/A</v>
      </c>
      <c r="AF10" s="446" t="e">
        <f t="shared" si="7"/>
        <v>#N/A</v>
      </c>
      <c r="AG10" s="436">
        <v>0</v>
      </c>
      <c r="AH10" s="447">
        <f t="shared" si="8"/>
        <v>0</v>
      </c>
      <c r="AI10" s="436">
        <v>0</v>
      </c>
      <c r="AJ10" s="448">
        <f t="shared" si="9"/>
        <v>0</v>
      </c>
      <c r="AL10" s="435" t="str">
        <f t="shared" si="37"/>
        <v/>
      </c>
      <c r="AM10" s="436">
        <f t="shared" si="38"/>
        <v>9</v>
      </c>
      <c r="AN10" s="437">
        <f>rents!Q14</f>
        <v>0</v>
      </c>
      <c r="AO10" s="438">
        <v>1</v>
      </c>
      <c r="AP10" s="438">
        <v>1</v>
      </c>
      <c r="AQ10" s="439">
        <f t="shared" si="39"/>
        <v>1</v>
      </c>
      <c r="AR10" s="440">
        <f>rents!R14</f>
        <v>0</v>
      </c>
      <c r="AS10" s="441">
        <f t="shared" si="10"/>
        <v>0</v>
      </c>
      <c r="AT10" s="442" t="e" cm="1">
        <f t="array" ref="AT10">CONCATENATE(_xlfn.IFS(rents!C14=1,"HTF",rents!D14=1,"HOME",rents!E14=1,"Lead Paint",rents!F14=1,"Project Based Assistance",rents!G14=1,"Tax Credit",rents!H14=1,"VHCB",rents!I14=1,"ADA Mobility",rents!J14=1,"ADA A/V",rents!K14=1, "Adaptable",rents!L14=1,"General",rents!M14=1,"Age Restricted",rents!N14=1,rents!$N$4,rents!O14=1,rents!$O$4,rents!P14=1,"Unrestricted"), ", ",
_xlfn.IFS(rents!V14=1,"30% AMI",rents!W14=1,"40% AMI",rents!X14=1,"50% AMI",rents!Y14=1,"60% AMI",rents!Z14=1,"70% AMI",rents!AA14=1,"80% AMI",rents!AB14=1,"100% AMI",rents!AC14=1,"Market Rate"))</f>
        <v>#N/A</v>
      </c>
      <c r="AU10" s="443" t="e">
        <f t="shared" si="40"/>
        <v>#N/A</v>
      </c>
      <c r="AV10" s="444">
        <f>rents!U14</f>
        <v>0</v>
      </c>
      <c r="AW10" s="445">
        <f>rents!T14</f>
        <v>0</v>
      </c>
      <c r="AX10" s="446">
        <f t="shared" si="11"/>
        <v>0</v>
      </c>
      <c r="AY10" s="446">
        <f t="shared" si="12"/>
        <v>0</v>
      </c>
      <c r="AZ10" s="436">
        <v>0</v>
      </c>
      <c r="BA10" s="447">
        <f t="shared" si="13"/>
        <v>0</v>
      </c>
      <c r="BB10" s="436">
        <v>0</v>
      </c>
      <c r="BC10" s="448">
        <f t="shared" si="14"/>
        <v>0</v>
      </c>
    </row>
    <row r="11" spans="1:55" ht="14.25" customHeight="1">
      <c r="A11" s="434" t="str">
        <f t="shared" si="15"/>
        <v/>
      </c>
      <c r="B11" s="434" t="str">
        <f t="shared" si="16"/>
        <v/>
      </c>
      <c r="C11" s="434" t="str">
        <f t="shared" si="17"/>
        <v/>
      </c>
      <c r="D11" s="434" t="str">
        <f t="shared" si="18"/>
        <v/>
      </c>
      <c r="E11" s="434" t="str">
        <f t="shared" si="19"/>
        <v/>
      </c>
      <c r="F11" s="434" t="str">
        <f t="shared" si="20"/>
        <v/>
      </c>
      <c r="G11" s="434" t="str">
        <f t="shared" si="21"/>
        <v/>
      </c>
      <c r="H11" s="434" t="str">
        <f t="shared" si="22"/>
        <v/>
      </c>
      <c r="I11" s="434" t="str">
        <f t="shared" si="23"/>
        <v/>
      </c>
      <c r="J11" s="434" t="str">
        <f t="shared" si="24"/>
        <v/>
      </c>
      <c r="K11" s="434" t="str">
        <f t="shared" si="25"/>
        <v/>
      </c>
      <c r="L11" s="434" t="str">
        <f t="shared" si="26"/>
        <v/>
      </c>
      <c r="M11" s="434" t="str">
        <f t="shared" si="27"/>
        <v/>
      </c>
      <c r="N11" s="434" t="str">
        <f t="shared" si="28"/>
        <v/>
      </c>
      <c r="O11" s="434" t="str">
        <f t="shared" si="29"/>
        <v/>
      </c>
      <c r="P11" s="434" t="str">
        <f t="shared" si="30"/>
        <v/>
      </c>
      <c r="Q11" s="434" t="str">
        <f t="shared" si="31"/>
        <v/>
      </c>
      <c r="R11" s="434" t="str">
        <f t="shared" si="32"/>
        <v/>
      </c>
      <c r="S11" s="435"/>
      <c r="T11" s="436">
        <f t="shared" si="33"/>
        <v>10</v>
      </c>
      <c r="U11" s="437" t="e">
        <f t="shared" si="0"/>
        <v>#N/A</v>
      </c>
      <c r="V11" s="438">
        <f t="shared" si="1"/>
        <v>0</v>
      </c>
      <c r="W11" s="438">
        <v>1</v>
      </c>
      <c r="X11" s="439" t="e">
        <f t="shared" si="34"/>
        <v>#N/A</v>
      </c>
      <c r="Y11" s="440" t="e">
        <f t="shared" si="2"/>
        <v>#N/A</v>
      </c>
      <c r="Z11" s="441" t="e">
        <f t="shared" si="3"/>
        <v>#N/A</v>
      </c>
      <c r="AA11" s="442" t="str">
        <f t="shared" si="35"/>
        <v/>
      </c>
      <c r="AB11" s="443" t="str">
        <f t="shared" si="36"/>
        <v/>
      </c>
      <c r="AC11" s="444" t="e">
        <f t="shared" si="4"/>
        <v>#N/A</v>
      </c>
      <c r="AD11" s="445" t="e">
        <f t="shared" si="5"/>
        <v>#N/A</v>
      </c>
      <c r="AE11" s="446" t="e">
        <f t="shared" si="6"/>
        <v>#N/A</v>
      </c>
      <c r="AF11" s="446" t="e">
        <f t="shared" si="7"/>
        <v>#N/A</v>
      </c>
      <c r="AG11" s="436">
        <v>0</v>
      </c>
      <c r="AH11" s="447">
        <f t="shared" si="8"/>
        <v>0</v>
      </c>
      <c r="AI11" s="436">
        <v>0</v>
      </c>
      <c r="AJ11" s="448">
        <f t="shared" si="9"/>
        <v>0</v>
      </c>
      <c r="AL11" s="435" t="str">
        <f t="shared" si="37"/>
        <v/>
      </c>
      <c r="AM11" s="436">
        <f t="shared" si="38"/>
        <v>10</v>
      </c>
      <c r="AN11" s="437">
        <f>rents!Q15</f>
        <v>0</v>
      </c>
      <c r="AO11" s="438">
        <v>1</v>
      </c>
      <c r="AP11" s="438">
        <v>1</v>
      </c>
      <c r="AQ11" s="439">
        <f t="shared" si="39"/>
        <v>1</v>
      </c>
      <c r="AR11" s="440">
        <f>rents!R15</f>
        <v>0</v>
      </c>
      <c r="AS11" s="441">
        <f t="shared" si="10"/>
        <v>0</v>
      </c>
      <c r="AT11" s="442" t="e" cm="1">
        <f t="array" ref="AT11">CONCATENATE(_xlfn.IFS(rents!C15=1,"HTF",rents!D15=1,"HOME",rents!E15=1,"Lead Paint",rents!F15=1,"Project Based Assistance",rents!G15=1,"Tax Credit",rents!H15=1,"VHCB",rents!I15=1,"ADA Mobility",rents!J15=1,"ADA A/V",rents!K15=1, "Adaptable",rents!L15=1,"General",rents!M15=1,"Age Restricted",rents!N15=1,rents!$N$4,rents!O15=1,rents!$O$4,rents!P15=1,"Unrestricted"), ", ",
_xlfn.IFS(rents!V15=1,"30% AMI",rents!W15=1,"40% AMI",rents!X15=1,"50% AMI",rents!Y15=1,"60% AMI",rents!Z15=1,"70% AMI",rents!AA15=1,"80% AMI",rents!AB15=1,"100% AMI",rents!AC15=1,"Market Rate"))</f>
        <v>#N/A</v>
      </c>
      <c r="AU11" s="443" t="e">
        <f t="shared" si="40"/>
        <v>#N/A</v>
      </c>
      <c r="AV11" s="444">
        <f>rents!U15</f>
        <v>0</v>
      </c>
      <c r="AW11" s="445">
        <f>rents!T15</f>
        <v>0</v>
      </c>
      <c r="AX11" s="446">
        <f t="shared" si="11"/>
        <v>0</v>
      </c>
      <c r="AY11" s="446">
        <f t="shared" si="12"/>
        <v>0</v>
      </c>
      <c r="AZ11" s="436">
        <v>0</v>
      </c>
      <c r="BA11" s="447">
        <f t="shared" si="13"/>
        <v>0</v>
      </c>
      <c r="BB11" s="436">
        <v>0</v>
      </c>
      <c r="BC11" s="448">
        <f t="shared" si="14"/>
        <v>0</v>
      </c>
    </row>
    <row r="12" spans="1:55" ht="14.25" customHeight="1">
      <c r="K12" s="434" t="str">
        <f t="shared" si="25"/>
        <v/>
      </c>
      <c r="S12" s="435"/>
      <c r="T12" s="436">
        <f t="shared" si="33"/>
        <v>11</v>
      </c>
      <c r="U12" s="437" t="e">
        <f t="shared" si="0"/>
        <v>#N/A</v>
      </c>
      <c r="V12" s="438">
        <f t="shared" si="1"/>
        <v>0</v>
      </c>
      <c r="W12" s="438">
        <v>1</v>
      </c>
      <c r="X12" s="439" t="e">
        <f t="shared" si="34"/>
        <v>#N/A</v>
      </c>
      <c r="Y12" s="440" t="e">
        <f t="shared" si="2"/>
        <v>#N/A</v>
      </c>
      <c r="Z12" s="441" t="e">
        <f t="shared" si="3"/>
        <v>#N/A</v>
      </c>
      <c r="AA12" s="442" t="str">
        <f t="shared" si="35"/>
        <v/>
      </c>
      <c r="AB12" s="443" t="str">
        <f t="shared" si="36"/>
        <v/>
      </c>
      <c r="AC12" s="444" t="e">
        <f t="shared" si="4"/>
        <v>#N/A</v>
      </c>
      <c r="AD12" s="445" t="e">
        <f t="shared" si="5"/>
        <v>#N/A</v>
      </c>
      <c r="AE12" s="446" t="e">
        <f t="shared" si="6"/>
        <v>#N/A</v>
      </c>
      <c r="AF12" s="446" t="e">
        <f t="shared" si="7"/>
        <v>#N/A</v>
      </c>
      <c r="AG12" s="436">
        <v>0</v>
      </c>
      <c r="AH12" s="447">
        <f t="shared" si="8"/>
        <v>0</v>
      </c>
      <c r="AI12" s="436">
        <v>0</v>
      </c>
      <c r="AJ12" s="448">
        <f t="shared" si="9"/>
        <v>0</v>
      </c>
      <c r="AL12" s="435" t="str">
        <f t="shared" si="37"/>
        <v/>
      </c>
      <c r="AM12" s="436">
        <f t="shared" si="38"/>
        <v>11</v>
      </c>
      <c r="AN12" s="437">
        <f>rents!Q16</f>
        <v>0</v>
      </c>
      <c r="AO12" s="438">
        <v>1</v>
      </c>
      <c r="AP12" s="438">
        <v>1</v>
      </c>
      <c r="AQ12" s="439">
        <f t="shared" si="39"/>
        <v>1</v>
      </c>
      <c r="AR12" s="440">
        <f>rents!R16</f>
        <v>0</v>
      </c>
      <c r="AS12" s="441">
        <f t="shared" si="10"/>
        <v>0</v>
      </c>
      <c r="AT12" s="442" t="e" cm="1">
        <f t="array" ref="AT12">CONCATENATE(_xlfn.IFS(rents!C16=1,"HTF",rents!D16=1,"HOME",rents!E16=1,"Lead Paint",rents!F16=1,"Project Based Assistance",rents!G16=1,"Tax Credit",rents!H16=1,"VHCB",rents!I16=1,"ADA Mobility",rents!J16=1,"ADA A/V",rents!K16=1, "Adaptable",rents!L16=1,"General",rents!M16=1,"Age Restricted",rents!N16=1,rents!$N$4,rents!O16=1,rents!$O$4,rents!P16=1,"Unrestricted"), ", ",
_xlfn.IFS(rents!V16=1,"30% AMI",rents!W16=1,"40% AMI",rents!X16=1,"50% AMI",rents!Y16=1,"60% AMI",rents!Z16=1,"70% AMI",rents!AA16=1,"80% AMI",rents!AB16=1,"100% AMI",rents!AC16=1,"Market Rate"))</f>
        <v>#N/A</v>
      </c>
      <c r="AU12" s="443" t="e">
        <f t="shared" si="40"/>
        <v>#N/A</v>
      </c>
      <c r="AV12" s="444">
        <f>rents!U16</f>
        <v>0</v>
      </c>
      <c r="AW12" s="445">
        <f>rents!T16</f>
        <v>0</v>
      </c>
      <c r="AX12" s="446">
        <f t="shared" si="11"/>
        <v>0</v>
      </c>
      <c r="AY12" s="446">
        <f t="shared" si="12"/>
        <v>0</v>
      </c>
      <c r="AZ12" s="436">
        <v>1</v>
      </c>
      <c r="BA12" s="447">
        <f t="shared" si="13"/>
        <v>1</v>
      </c>
      <c r="BB12" s="436">
        <v>1</v>
      </c>
      <c r="BC12" s="448">
        <f t="shared" si="14"/>
        <v>1</v>
      </c>
    </row>
    <row r="13" spans="1:55" ht="14.25" customHeight="1">
      <c r="K13" s="434" t="str">
        <f t="shared" si="25"/>
        <v/>
      </c>
      <c r="S13" s="435"/>
      <c r="T13" s="436">
        <f t="shared" si="33"/>
        <v>12</v>
      </c>
      <c r="U13" s="437" t="e">
        <f t="shared" si="0"/>
        <v>#N/A</v>
      </c>
      <c r="V13" s="438">
        <f t="shared" si="1"/>
        <v>0</v>
      </c>
      <c r="W13" s="438">
        <v>1</v>
      </c>
      <c r="X13" s="439" t="e">
        <f t="shared" si="34"/>
        <v>#N/A</v>
      </c>
      <c r="Y13" s="440" t="e">
        <f t="shared" si="2"/>
        <v>#N/A</v>
      </c>
      <c r="Z13" s="441" t="e">
        <f t="shared" si="3"/>
        <v>#N/A</v>
      </c>
      <c r="AA13" s="442" t="str">
        <f t="shared" si="35"/>
        <v/>
      </c>
      <c r="AB13" s="443" t="str">
        <f t="shared" si="36"/>
        <v/>
      </c>
      <c r="AC13" s="444" t="e">
        <f t="shared" si="4"/>
        <v>#N/A</v>
      </c>
      <c r="AD13" s="445" t="e">
        <f t="shared" si="5"/>
        <v>#N/A</v>
      </c>
      <c r="AE13" s="446" t="e">
        <f t="shared" si="6"/>
        <v>#N/A</v>
      </c>
      <c r="AF13" s="446" t="e">
        <f t="shared" si="7"/>
        <v>#N/A</v>
      </c>
      <c r="AG13" s="436">
        <v>0</v>
      </c>
      <c r="AH13" s="447">
        <f t="shared" si="8"/>
        <v>0</v>
      </c>
      <c r="AI13" s="436">
        <v>0</v>
      </c>
      <c r="AJ13" s="448">
        <f t="shared" si="9"/>
        <v>0</v>
      </c>
      <c r="AL13" s="435" t="str">
        <f t="shared" si="37"/>
        <v/>
      </c>
      <c r="AM13" s="436">
        <f t="shared" si="38"/>
        <v>12</v>
      </c>
      <c r="AN13" s="437">
        <f>rents!Q17</f>
        <v>0</v>
      </c>
      <c r="AO13" s="438">
        <v>1</v>
      </c>
      <c r="AP13" s="438">
        <v>1</v>
      </c>
      <c r="AQ13" s="439">
        <f t="shared" si="39"/>
        <v>1</v>
      </c>
      <c r="AR13" s="440">
        <f>rents!R17</f>
        <v>0</v>
      </c>
      <c r="AS13" s="441">
        <f t="shared" si="10"/>
        <v>0</v>
      </c>
      <c r="AT13" s="442" t="e" cm="1">
        <f t="array" ref="AT13">CONCATENATE(_xlfn.IFS(rents!C17=1,"HTF",rents!D17=1,"HOME",rents!E17=1,"Lead Paint",rents!F17=1,"Project Based Assistance",rents!G17=1,"Tax Credit",rents!H17=1,"VHCB",rents!I17=1,"ADA Mobility",rents!J17=1,"ADA A/V",rents!K17=1, "Adaptable",rents!L17=1,"General",rents!M17=1,"Age Restricted",rents!N17=1,rents!$N$4,rents!O17=1,rents!$O$4,rents!P17=1,"Unrestricted"), ", ",
_xlfn.IFS(rents!V17=1,"30% AMI",rents!W17=1,"40% AMI",rents!X17=1,"50% AMI",rents!Y17=1,"60% AMI",rents!Z17=1,"70% AMI",rents!AA17=1,"80% AMI",rents!AB17=1,"100% AMI",rents!AC17=1,"Market Rate"))</f>
        <v>#N/A</v>
      </c>
      <c r="AU13" s="443" t="e">
        <f t="shared" si="40"/>
        <v>#N/A</v>
      </c>
      <c r="AV13" s="444">
        <f>rents!U17</f>
        <v>0</v>
      </c>
      <c r="AW13" s="445">
        <f>rents!T17</f>
        <v>0</v>
      </c>
      <c r="AX13" s="446">
        <f t="shared" si="11"/>
        <v>0</v>
      </c>
      <c r="AY13" s="446">
        <f t="shared" si="12"/>
        <v>0</v>
      </c>
      <c r="AZ13" s="436">
        <v>2</v>
      </c>
      <c r="BA13" s="447">
        <f t="shared" si="13"/>
        <v>1</v>
      </c>
      <c r="BB13" s="436">
        <v>2</v>
      </c>
      <c r="BC13" s="448">
        <f t="shared" si="14"/>
        <v>1</v>
      </c>
    </row>
    <row r="14" spans="1:55" ht="14.25" customHeight="1">
      <c r="K14" s="434" t="str">
        <f t="shared" si="25"/>
        <v/>
      </c>
      <c r="S14" s="435"/>
      <c r="T14" s="436">
        <f t="shared" si="33"/>
        <v>13</v>
      </c>
      <c r="U14" s="437" t="e">
        <f t="shared" si="0"/>
        <v>#N/A</v>
      </c>
      <c r="V14" s="438">
        <f t="shared" si="1"/>
        <v>0</v>
      </c>
      <c r="W14" s="438">
        <v>1</v>
      </c>
      <c r="X14" s="439" t="e">
        <f t="shared" si="34"/>
        <v>#N/A</v>
      </c>
      <c r="Y14" s="440" t="e">
        <f t="shared" si="2"/>
        <v>#N/A</v>
      </c>
      <c r="Z14" s="441" t="e">
        <f t="shared" si="3"/>
        <v>#N/A</v>
      </c>
      <c r="AA14" s="442" t="str">
        <f t="shared" si="35"/>
        <v/>
      </c>
      <c r="AB14" s="443" t="str">
        <f t="shared" si="36"/>
        <v/>
      </c>
      <c r="AC14" s="444" t="e">
        <f t="shared" si="4"/>
        <v>#N/A</v>
      </c>
      <c r="AD14" s="445" t="e">
        <f t="shared" si="5"/>
        <v>#N/A</v>
      </c>
      <c r="AE14" s="446" t="e">
        <f t="shared" si="6"/>
        <v>#N/A</v>
      </c>
      <c r="AF14" s="446" t="e">
        <f t="shared" si="7"/>
        <v>#N/A</v>
      </c>
      <c r="AG14" s="436">
        <v>0</v>
      </c>
      <c r="AH14" s="447">
        <f t="shared" si="8"/>
        <v>0</v>
      </c>
      <c r="AI14" s="436">
        <v>0</v>
      </c>
      <c r="AJ14" s="448">
        <f t="shared" si="9"/>
        <v>0</v>
      </c>
      <c r="AL14" s="435" t="str">
        <f t="shared" si="37"/>
        <v/>
      </c>
      <c r="AM14" s="436">
        <f t="shared" si="38"/>
        <v>13</v>
      </c>
      <c r="AN14" s="437">
        <f>rents!Q18</f>
        <v>0</v>
      </c>
      <c r="AO14" s="438">
        <v>1</v>
      </c>
      <c r="AP14" s="438">
        <v>1</v>
      </c>
      <c r="AQ14" s="439">
        <f t="shared" si="39"/>
        <v>1</v>
      </c>
      <c r="AR14" s="440">
        <f>rents!R18</f>
        <v>0</v>
      </c>
      <c r="AS14" s="441">
        <f t="shared" si="10"/>
        <v>0</v>
      </c>
      <c r="AT14" s="442" t="e" cm="1">
        <f t="array" ref="AT14">CONCATENATE(_xlfn.IFS(rents!C18=1,"HTF",rents!D18=1,"HOME",rents!E18=1,"Lead Paint",rents!F18=1,"Project Based Assistance",rents!G18=1,"Tax Credit",rents!H18=1,"VHCB",rents!I18=1,"ADA Mobility",rents!J18=1,"ADA A/V",rents!K18=1, "Adaptable",rents!L18=1,"General",rents!M18=1,"Age Restricted",rents!N18=1,rents!$N$4,rents!O18=1,rents!$O$4,rents!P18=1,"Unrestricted"), ", ",
_xlfn.IFS(rents!V18=1,"30% AMI",rents!W18=1,"40% AMI",rents!X18=1,"50% AMI",rents!Y18=1,"60% AMI",rents!Z18=1,"70% AMI",rents!AA18=1,"80% AMI",rents!AB18=1,"100% AMI",rents!AC18=1,"Market Rate"))</f>
        <v>#N/A</v>
      </c>
      <c r="AU14" s="443" t="e">
        <f t="shared" si="40"/>
        <v>#N/A</v>
      </c>
      <c r="AV14" s="444">
        <f>rents!U18</f>
        <v>0</v>
      </c>
      <c r="AW14" s="445">
        <f>rents!T18</f>
        <v>0</v>
      </c>
      <c r="AX14" s="446">
        <f t="shared" si="11"/>
        <v>0</v>
      </c>
      <c r="AY14" s="446">
        <f t="shared" si="12"/>
        <v>0</v>
      </c>
      <c r="AZ14" s="436">
        <v>3</v>
      </c>
      <c r="BA14" s="447">
        <f t="shared" si="13"/>
        <v>1</v>
      </c>
      <c r="BB14" s="436">
        <v>3</v>
      </c>
      <c r="BC14" s="448">
        <f t="shared" si="14"/>
        <v>1</v>
      </c>
    </row>
    <row r="15" spans="1:55" ht="14.25" customHeight="1">
      <c r="K15" s="434" t="str">
        <f t="shared" si="25"/>
        <v/>
      </c>
      <c r="S15" s="435"/>
      <c r="T15" s="436">
        <f t="shared" si="33"/>
        <v>14</v>
      </c>
      <c r="U15" s="437" t="e">
        <f t="shared" si="0"/>
        <v>#N/A</v>
      </c>
      <c r="V15" s="438">
        <f t="shared" si="1"/>
        <v>0</v>
      </c>
      <c r="W15" s="438">
        <v>1</v>
      </c>
      <c r="X15" s="439" t="e">
        <f t="shared" si="34"/>
        <v>#N/A</v>
      </c>
      <c r="Y15" s="440" t="e">
        <f t="shared" si="2"/>
        <v>#N/A</v>
      </c>
      <c r="Z15" s="441" t="e">
        <f t="shared" si="3"/>
        <v>#N/A</v>
      </c>
      <c r="AA15" s="442" t="str">
        <f t="shared" si="35"/>
        <v/>
      </c>
      <c r="AB15" s="443" t="str">
        <f t="shared" si="36"/>
        <v/>
      </c>
      <c r="AC15" s="444" t="e">
        <f t="shared" si="4"/>
        <v>#N/A</v>
      </c>
      <c r="AD15" s="445" t="e">
        <f t="shared" si="5"/>
        <v>#N/A</v>
      </c>
      <c r="AE15" s="446" t="e">
        <f t="shared" si="6"/>
        <v>#N/A</v>
      </c>
      <c r="AF15" s="446" t="e">
        <f t="shared" si="7"/>
        <v>#N/A</v>
      </c>
      <c r="AG15" s="436">
        <v>0</v>
      </c>
      <c r="AH15" s="447">
        <f t="shared" si="8"/>
        <v>0</v>
      </c>
      <c r="AI15" s="436">
        <v>0</v>
      </c>
      <c r="AJ15" s="448">
        <f t="shared" si="9"/>
        <v>0</v>
      </c>
      <c r="AL15" s="435" t="str">
        <f t="shared" si="37"/>
        <v/>
      </c>
      <c r="AM15" s="436">
        <f t="shared" si="38"/>
        <v>14</v>
      </c>
      <c r="AN15" s="437">
        <f>rents!Q19</f>
        <v>0</v>
      </c>
      <c r="AO15" s="438">
        <v>1</v>
      </c>
      <c r="AP15" s="438">
        <v>1</v>
      </c>
      <c r="AQ15" s="439">
        <f t="shared" si="39"/>
        <v>1</v>
      </c>
      <c r="AR15" s="440">
        <f>rents!R19</f>
        <v>0</v>
      </c>
      <c r="AS15" s="441">
        <f t="shared" si="10"/>
        <v>0</v>
      </c>
      <c r="AT15" s="442" t="e" cm="1">
        <f t="array" ref="AT15">CONCATENATE(_xlfn.IFS(rents!C19=1,"HTF",rents!D19=1,"HOME",rents!E19=1,"Lead Paint",rents!F19=1,"Project Based Assistance",rents!G19=1,"Tax Credit",rents!H19=1,"VHCB",rents!I19=1,"ADA Mobility",rents!J19=1,"ADA A/V",rents!K19=1, "Adaptable",rents!L19=1,"General",rents!M19=1,"Age Restricted",rents!N19=1,rents!$N$4,rents!O19=1,rents!$O$4,rents!P19=1,"Unrestricted"), ", ",
_xlfn.IFS(rents!V19=1,"30% AMI",rents!W19=1,"40% AMI",rents!X19=1,"50% AMI",rents!Y19=1,"60% AMI",rents!Z19=1,"70% AMI",rents!AA19=1,"80% AMI",rents!AB19=1,"100% AMI",rents!AC19=1,"Market Rate"))</f>
        <v>#N/A</v>
      </c>
      <c r="AU15" s="443" t="e">
        <f t="shared" si="40"/>
        <v>#N/A</v>
      </c>
      <c r="AV15" s="444">
        <f>rents!U19</f>
        <v>0</v>
      </c>
      <c r="AW15" s="445">
        <f>rents!T19</f>
        <v>0</v>
      </c>
      <c r="AX15" s="446">
        <f t="shared" si="11"/>
        <v>0</v>
      </c>
      <c r="AY15" s="446">
        <f t="shared" si="12"/>
        <v>0</v>
      </c>
      <c r="AZ15" s="436">
        <v>4</v>
      </c>
      <c r="BA15" s="447">
        <f t="shared" si="13"/>
        <v>1</v>
      </c>
      <c r="BB15" s="436">
        <v>4</v>
      </c>
      <c r="BC15" s="448">
        <f t="shared" si="14"/>
        <v>1</v>
      </c>
    </row>
    <row r="16" spans="1:55" ht="14.25" customHeight="1">
      <c r="K16" s="434" t="str">
        <f t="shared" si="25"/>
        <v/>
      </c>
      <c r="S16" s="435"/>
      <c r="T16" s="436">
        <f t="shared" si="33"/>
        <v>15</v>
      </c>
      <c r="U16" s="437" t="e">
        <f t="shared" si="0"/>
        <v>#N/A</v>
      </c>
      <c r="V16" s="438">
        <f t="shared" si="1"/>
        <v>0</v>
      </c>
      <c r="W16" s="438">
        <v>1</v>
      </c>
      <c r="X16" s="439" t="e">
        <f t="shared" si="34"/>
        <v>#N/A</v>
      </c>
      <c r="Y16" s="440" t="e">
        <f t="shared" si="2"/>
        <v>#N/A</v>
      </c>
      <c r="Z16" s="441" t="e">
        <f t="shared" si="3"/>
        <v>#N/A</v>
      </c>
      <c r="AA16" s="442" t="str">
        <f t="shared" si="35"/>
        <v/>
      </c>
      <c r="AB16" s="443" t="str">
        <f t="shared" si="36"/>
        <v/>
      </c>
      <c r="AC16" s="444" t="e">
        <f t="shared" si="4"/>
        <v>#N/A</v>
      </c>
      <c r="AD16" s="445" t="e">
        <f t="shared" si="5"/>
        <v>#N/A</v>
      </c>
      <c r="AE16" s="446" t="e">
        <f t="shared" si="6"/>
        <v>#N/A</v>
      </c>
      <c r="AF16" s="446" t="e">
        <f t="shared" si="7"/>
        <v>#N/A</v>
      </c>
      <c r="AG16" s="436">
        <v>0</v>
      </c>
      <c r="AH16" s="447">
        <f t="shared" si="8"/>
        <v>0</v>
      </c>
      <c r="AI16" s="436">
        <v>0</v>
      </c>
      <c r="AJ16" s="448">
        <f t="shared" si="9"/>
        <v>0</v>
      </c>
      <c r="AL16" s="435" t="str">
        <f t="shared" si="37"/>
        <v/>
      </c>
      <c r="AM16" s="436">
        <f t="shared" si="38"/>
        <v>15</v>
      </c>
      <c r="AN16" s="437">
        <f>rents!Q20</f>
        <v>0</v>
      </c>
      <c r="AO16" s="438">
        <v>1</v>
      </c>
      <c r="AP16" s="438">
        <v>1</v>
      </c>
      <c r="AQ16" s="439">
        <f t="shared" si="39"/>
        <v>1</v>
      </c>
      <c r="AR16" s="440">
        <f>rents!R20</f>
        <v>0</v>
      </c>
      <c r="AS16" s="441">
        <f t="shared" si="10"/>
        <v>0</v>
      </c>
      <c r="AT16" s="442" t="e" cm="1">
        <f t="array" ref="AT16">CONCATENATE(_xlfn.IFS(rents!C20=1,"HTF",rents!D20=1,"HOME",rents!E20=1,"Lead Paint",rents!F20=1,"Project Based Assistance",rents!G20=1,"Tax Credit",rents!H20=1,"VHCB",rents!I20=1,"ADA Mobility",rents!J20=1,"ADA A/V",rents!K20=1, "Adaptable",rents!L20=1,"General",rents!M20=1,"Age Restricted",rents!N20=1,rents!$N$4,rents!O20=1,rents!$O$4,rents!P20=1,"Unrestricted"), ", ",
_xlfn.IFS(rents!V20=1,"30% AMI",rents!W20=1,"40% AMI",rents!X20=1,"50% AMI",rents!Y20=1,"60% AMI",rents!Z20=1,"70% AMI",rents!AA20=1,"80% AMI",rents!AB20=1,"100% AMI",rents!AC20=1,"Market Rate"))</f>
        <v>#N/A</v>
      </c>
      <c r="AU16" s="443" t="e">
        <f t="shared" si="40"/>
        <v>#N/A</v>
      </c>
      <c r="AV16" s="444">
        <f>rents!U20</f>
        <v>0</v>
      </c>
      <c r="AW16" s="445">
        <f>rents!T20</f>
        <v>0</v>
      </c>
      <c r="AX16" s="446">
        <f t="shared" si="11"/>
        <v>0</v>
      </c>
      <c r="AY16" s="446">
        <f t="shared" si="12"/>
        <v>0</v>
      </c>
      <c r="AZ16" s="436">
        <v>5</v>
      </c>
      <c r="BA16" s="447">
        <f t="shared" si="13"/>
        <v>1</v>
      </c>
      <c r="BB16" s="436">
        <v>5</v>
      </c>
      <c r="BC16" s="448">
        <f t="shared" si="14"/>
        <v>1</v>
      </c>
    </row>
    <row r="17" spans="11:55" ht="14.25" customHeight="1">
      <c r="K17" s="434" t="str">
        <f t="shared" si="25"/>
        <v/>
      </c>
      <c r="S17" s="435"/>
      <c r="T17" s="436">
        <f t="shared" si="33"/>
        <v>16</v>
      </c>
      <c r="U17" s="437" t="e">
        <f t="shared" si="0"/>
        <v>#N/A</v>
      </c>
      <c r="V17" s="438">
        <f t="shared" si="1"/>
        <v>0</v>
      </c>
      <c r="W17" s="438">
        <v>1</v>
      </c>
      <c r="X17" s="439" t="e">
        <f t="shared" si="34"/>
        <v>#N/A</v>
      </c>
      <c r="Y17" s="440" t="e">
        <f t="shared" si="2"/>
        <v>#N/A</v>
      </c>
      <c r="Z17" s="441" t="e">
        <f t="shared" si="3"/>
        <v>#N/A</v>
      </c>
      <c r="AA17" s="442" t="str">
        <f t="shared" si="35"/>
        <v/>
      </c>
      <c r="AB17" s="443" t="str">
        <f t="shared" si="36"/>
        <v/>
      </c>
      <c r="AC17" s="444" t="e">
        <f t="shared" si="4"/>
        <v>#N/A</v>
      </c>
      <c r="AD17" s="445" t="e">
        <f t="shared" si="5"/>
        <v>#N/A</v>
      </c>
      <c r="AE17" s="446" t="e">
        <f t="shared" si="6"/>
        <v>#N/A</v>
      </c>
      <c r="AF17" s="446" t="e">
        <f t="shared" si="7"/>
        <v>#N/A</v>
      </c>
      <c r="AG17" s="436">
        <v>0</v>
      </c>
      <c r="AH17" s="447">
        <f t="shared" si="8"/>
        <v>0</v>
      </c>
      <c r="AI17" s="436">
        <v>0</v>
      </c>
      <c r="AJ17" s="448">
        <f t="shared" si="9"/>
        <v>0</v>
      </c>
      <c r="AL17" s="435" t="str">
        <f t="shared" si="37"/>
        <v/>
      </c>
      <c r="AM17" s="436">
        <f t="shared" si="38"/>
        <v>16</v>
      </c>
      <c r="AN17" s="437">
        <f>rents!Q21</f>
        <v>0</v>
      </c>
      <c r="AO17" s="438">
        <v>1</v>
      </c>
      <c r="AP17" s="438">
        <v>1</v>
      </c>
      <c r="AQ17" s="439">
        <f t="shared" si="39"/>
        <v>1</v>
      </c>
      <c r="AR17" s="440">
        <f>rents!R21</f>
        <v>0</v>
      </c>
      <c r="AS17" s="441">
        <f t="shared" si="10"/>
        <v>0</v>
      </c>
      <c r="AT17" s="442" t="e" cm="1">
        <f t="array" ref="AT17">CONCATENATE(_xlfn.IFS(rents!C21=1,"HTF",rents!D21=1,"HOME",rents!E21=1,"Lead Paint",rents!F21=1,"Project Based Assistance",rents!G21=1,"Tax Credit",rents!H21=1,"VHCB",rents!I21=1,"ADA Mobility",rents!J21=1,"ADA A/V",rents!K21=1, "Adaptable",rents!L21=1,"General",rents!M21=1,"Age Restricted",rents!N21=1,rents!$N$4,rents!O21=1,rents!$O$4,rents!P21=1,"Unrestricted"), ", ",
_xlfn.IFS(rents!V21=1,"30% AMI",rents!W21=1,"40% AMI",rents!X21=1,"50% AMI",rents!Y21=1,"60% AMI",rents!Z21=1,"70% AMI",rents!AA21=1,"80% AMI",rents!AB21=1,"100% AMI",rents!AC21=1,"Market Rate"))</f>
        <v>#N/A</v>
      </c>
      <c r="AU17" s="443" t="e">
        <f t="shared" si="40"/>
        <v>#N/A</v>
      </c>
      <c r="AV17" s="444">
        <f>rents!U21</f>
        <v>0</v>
      </c>
      <c r="AW17" s="445">
        <f>rents!T21</f>
        <v>0</v>
      </c>
      <c r="AX17" s="446">
        <f t="shared" si="11"/>
        <v>0</v>
      </c>
      <c r="AY17" s="446">
        <f t="shared" si="12"/>
        <v>0</v>
      </c>
      <c r="AZ17" s="436">
        <v>6</v>
      </c>
      <c r="BA17" s="447">
        <f t="shared" si="13"/>
        <v>1</v>
      </c>
      <c r="BB17" s="436">
        <v>6</v>
      </c>
      <c r="BC17" s="448">
        <f t="shared" si="14"/>
        <v>1</v>
      </c>
    </row>
    <row r="18" spans="11:55" ht="14.25" customHeight="1">
      <c r="K18" s="434" t="str">
        <f t="shared" si="25"/>
        <v/>
      </c>
      <c r="S18" s="435"/>
      <c r="T18" s="436">
        <f t="shared" si="33"/>
        <v>17</v>
      </c>
      <c r="U18" s="437" t="e">
        <f t="shared" si="0"/>
        <v>#N/A</v>
      </c>
      <c r="V18" s="438">
        <f t="shared" si="1"/>
        <v>0</v>
      </c>
      <c r="W18" s="438">
        <v>1</v>
      </c>
      <c r="X18" s="439" t="e">
        <f t="shared" si="34"/>
        <v>#N/A</v>
      </c>
      <c r="Y18" s="440" t="e">
        <f t="shared" si="2"/>
        <v>#N/A</v>
      </c>
      <c r="Z18" s="441" t="e">
        <f t="shared" si="3"/>
        <v>#N/A</v>
      </c>
      <c r="AA18" s="442" t="str">
        <f t="shared" si="35"/>
        <v/>
      </c>
      <c r="AB18" s="443" t="str">
        <f t="shared" si="36"/>
        <v/>
      </c>
      <c r="AC18" s="444" t="e">
        <f t="shared" si="4"/>
        <v>#N/A</v>
      </c>
      <c r="AD18" s="445" t="e">
        <f t="shared" si="5"/>
        <v>#N/A</v>
      </c>
      <c r="AE18" s="446" t="e">
        <f t="shared" si="6"/>
        <v>#N/A</v>
      </c>
      <c r="AF18" s="446" t="e">
        <f t="shared" si="7"/>
        <v>#N/A</v>
      </c>
      <c r="AG18" s="436">
        <v>0</v>
      </c>
      <c r="AH18" s="447">
        <f t="shared" si="8"/>
        <v>0</v>
      </c>
      <c r="AI18" s="436">
        <v>0</v>
      </c>
      <c r="AJ18" s="448">
        <f t="shared" si="9"/>
        <v>0</v>
      </c>
      <c r="AL18" s="435" t="str">
        <f t="shared" si="37"/>
        <v/>
      </c>
      <c r="AM18" s="436">
        <f t="shared" si="38"/>
        <v>17</v>
      </c>
      <c r="AN18" s="437">
        <f>rents!Q22</f>
        <v>0</v>
      </c>
      <c r="AO18" s="438">
        <v>1</v>
      </c>
      <c r="AP18" s="438">
        <v>1</v>
      </c>
      <c r="AQ18" s="439">
        <f t="shared" si="39"/>
        <v>1</v>
      </c>
      <c r="AR18" s="440">
        <f>rents!R22</f>
        <v>0</v>
      </c>
      <c r="AS18" s="441">
        <f t="shared" si="10"/>
        <v>0</v>
      </c>
      <c r="AT18" s="442" t="e" cm="1">
        <f t="array" ref="AT18">CONCATENATE(_xlfn.IFS(rents!C22=1,"HTF",rents!D22=1,"HOME",rents!E22=1,"Lead Paint",rents!F22=1,"Project Based Assistance",rents!G22=1,"Tax Credit",rents!H22=1,"VHCB",rents!I22=1,"ADA Mobility",rents!J22=1,"ADA A/V",rents!K22=1, "Adaptable",rents!L22=1,"General",rents!M22=1,"Age Restricted",rents!N22=1,rents!$N$4,rents!O22=1,rents!$O$4,rents!P22=1,"Unrestricted"), ", ",
_xlfn.IFS(rents!V22=1,"30% AMI",rents!W22=1,"40% AMI",rents!X22=1,"50% AMI",rents!Y22=1,"60% AMI",rents!Z22=1,"70% AMI",rents!AA22=1,"80% AMI",rents!AB22=1,"100% AMI",rents!AC22=1,"Market Rate"))</f>
        <v>#N/A</v>
      </c>
      <c r="AU18" s="443" t="e">
        <f t="shared" si="40"/>
        <v>#N/A</v>
      </c>
      <c r="AV18" s="444">
        <f>rents!U22</f>
        <v>0</v>
      </c>
      <c r="AW18" s="445">
        <f>rents!T22</f>
        <v>0</v>
      </c>
      <c r="AX18" s="446">
        <f t="shared" si="11"/>
        <v>0</v>
      </c>
      <c r="AY18" s="446">
        <f t="shared" si="12"/>
        <v>0</v>
      </c>
      <c r="AZ18" s="436">
        <v>7</v>
      </c>
      <c r="BA18" s="447">
        <f t="shared" si="13"/>
        <v>1</v>
      </c>
      <c r="BB18" s="436">
        <v>7</v>
      </c>
      <c r="BC18" s="448">
        <f t="shared" si="14"/>
        <v>1</v>
      </c>
    </row>
    <row r="19" spans="11:55" ht="14.25" customHeight="1">
      <c r="K19" s="434" t="str">
        <f t="shared" si="25"/>
        <v/>
      </c>
      <c r="S19" s="435"/>
      <c r="T19" s="436">
        <f t="shared" si="33"/>
        <v>18</v>
      </c>
      <c r="U19" s="437" t="e">
        <f t="shared" si="0"/>
        <v>#N/A</v>
      </c>
      <c r="V19" s="438">
        <f t="shared" si="1"/>
        <v>0</v>
      </c>
      <c r="W19" s="438">
        <v>1</v>
      </c>
      <c r="X19" s="439" t="e">
        <f t="shared" si="34"/>
        <v>#N/A</v>
      </c>
      <c r="Y19" s="440" t="e">
        <f t="shared" si="2"/>
        <v>#N/A</v>
      </c>
      <c r="Z19" s="441" t="e">
        <f t="shared" si="3"/>
        <v>#N/A</v>
      </c>
      <c r="AA19" s="442" t="str">
        <f t="shared" si="35"/>
        <v/>
      </c>
      <c r="AB19" s="443" t="str">
        <f t="shared" si="36"/>
        <v/>
      </c>
      <c r="AC19" s="444" t="e">
        <f t="shared" si="4"/>
        <v>#N/A</v>
      </c>
      <c r="AD19" s="445" t="e">
        <f t="shared" si="5"/>
        <v>#N/A</v>
      </c>
      <c r="AE19" s="446" t="e">
        <f t="shared" si="6"/>
        <v>#N/A</v>
      </c>
      <c r="AF19" s="446" t="e">
        <f t="shared" si="7"/>
        <v>#N/A</v>
      </c>
      <c r="AG19" s="436">
        <v>0</v>
      </c>
      <c r="AH19" s="447">
        <f t="shared" si="8"/>
        <v>0</v>
      </c>
      <c r="AI19" s="436">
        <v>0</v>
      </c>
      <c r="AJ19" s="448">
        <f t="shared" si="9"/>
        <v>0</v>
      </c>
      <c r="AL19" s="435" t="str">
        <f t="shared" si="37"/>
        <v/>
      </c>
      <c r="AM19" s="436">
        <f t="shared" si="38"/>
        <v>18</v>
      </c>
      <c r="AN19" s="437">
        <f>rents!Q23</f>
        <v>0</v>
      </c>
      <c r="AO19" s="438">
        <v>1</v>
      </c>
      <c r="AP19" s="438">
        <v>1</v>
      </c>
      <c r="AQ19" s="439">
        <f t="shared" si="39"/>
        <v>1</v>
      </c>
      <c r="AR19" s="440">
        <f>rents!R23</f>
        <v>0</v>
      </c>
      <c r="AS19" s="441">
        <f t="shared" si="10"/>
        <v>0</v>
      </c>
      <c r="AT19" s="442" t="e" cm="1">
        <f t="array" ref="AT19">CONCATENATE(_xlfn.IFS(rents!C23=1,"HTF",rents!D23=1,"HOME",rents!E23=1,"Lead Paint",rents!F23=1,"Project Based Assistance",rents!G23=1,"Tax Credit",rents!H23=1,"VHCB",rents!I23=1,"ADA Mobility",rents!J23=1,"ADA A/V",rents!K23=1, "Adaptable",rents!L23=1,"General",rents!M23=1,"Age Restricted",rents!N23=1,rents!$N$4,rents!O23=1,rents!$O$4,rents!P23=1,"Unrestricted"), ", ",
_xlfn.IFS(rents!V23=1,"30% AMI",rents!W23=1,"40% AMI",rents!X23=1,"50% AMI",rents!Y23=1,"60% AMI",rents!Z23=1,"70% AMI",rents!AA23=1,"80% AMI",rents!AB23=1,"100% AMI",rents!AC23=1,"Market Rate"))</f>
        <v>#N/A</v>
      </c>
      <c r="AU19" s="443" t="e">
        <f t="shared" si="40"/>
        <v>#N/A</v>
      </c>
      <c r="AV19" s="444">
        <f>rents!U23</f>
        <v>0</v>
      </c>
      <c r="AW19" s="445">
        <f>rents!T23</f>
        <v>0</v>
      </c>
      <c r="AX19" s="446">
        <f t="shared" si="11"/>
        <v>0</v>
      </c>
      <c r="AY19" s="446">
        <f t="shared" si="12"/>
        <v>0</v>
      </c>
      <c r="AZ19" s="436">
        <v>8</v>
      </c>
      <c r="BA19" s="447">
        <f t="shared" si="13"/>
        <v>1</v>
      </c>
      <c r="BB19" s="436">
        <v>8</v>
      </c>
      <c r="BC19" s="448">
        <f t="shared" si="14"/>
        <v>1</v>
      </c>
    </row>
    <row r="20" spans="11:55" ht="14.25" customHeight="1">
      <c r="K20" s="434" t="str">
        <f t="shared" si="25"/>
        <v/>
      </c>
      <c r="S20" s="435"/>
      <c r="T20" s="436">
        <f t="shared" si="33"/>
        <v>19</v>
      </c>
      <c r="U20" s="437" t="e">
        <f t="shared" si="0"/>
        <v>#N/A</v>
      </c>
      <c r="V20" s="438">
        <f t="shared" si="1"/>
        <v>0</v>
      </c>
      <c r="W20" s="438">
        <v>1</v>
      </c>
      <c r="X20" s="439" t="e">
        <f t="shared" si="34"/>
        <v>#N/A</v>
      </c>
      <c r="Y20" s="440" t="e">
        <f t="shared" si="2"/>
        <v>#N/A</v>
      </c>
      <c r="Z20" s="441" t="e">
        <f t="shared" si="3"/>
        <v>#N/A</v>
      </c>
      <c r="AA20" s="442" t="str">
        <f t="shared" si="35"/>
        <v/>
      </c>
      <c r="AB20" s="443" t="str">
        <f t="shared" si="36"/>
        <v/>
      </c>
      <c r="AC20" s="444" t="e">
        <f t="shared" si="4"/>
        <v>#N/A</v>
      </c>
      <c r="AD20" s="445" t="e">
        <f t="shared" si="5"/>
        <v>#N/A</v>
      </c>
      <c r="AE20" s="446" t="e">
        <f t="shared" si="6"/>
        <v>#N/A</v>
      </c>
      <c r="AF20" s="446" t="e">
        <f t="shared" si="7"/>
        <v>#N/A</v>
      </c>
      <c r="AG20" s="436">
        <v>0</v>
      </c>
      <c r="AH20" s="447">
        <f t="shared" si="8"/>
        <v>0</v>
      </c>
      <c r="AI20" s="436">
        <v>0</v>
      </c>
      <c r="AJ20" s="448">
        <f t="shared" si="9"/>
        <v>0</v>
      </c>
      <c r="AL20" s="435" t="str">
        <f t="shared" si="37"/>
        <v/>
      </c>
      <c r="AM20" s="436">
        <f t="shared" si="38"/>
        <v>19</v>
      </c>
      <c r="AN20" s="437">
        <f>rents!Q24</f>
        <v>0</v>
      </c>
      <c r="AO20" s="438">
        <v>1</v>
      </c>
      <c r="AP20" s="438">
        <v>1</v>
      </c>
      <c r="AQ20" s="439">
        <f t="shared" si="39"/>
        <v>1</v>
      </c>
      <c r="AR20" s="440">
        <f>rents!R24</f>
        <v>0</v>
      </c>
      <c r="AS20" s="441">
        <f t="shared" si="10"/>
        <v>0</v>
      </c>
      <c r="AT20" s="442" t="e" cm="1">
        <f t="array" ref="AT20">CONCATENATE(_xlfn.IFS(rents!C24=1,"HTF",rents!D24=1,"HOME",rents!E24=1,"Lead Paint",rents!F24=1,"Project Based Assistance",rents!G24=1,"Tax Credit",rents!H24=1,"VHCB",rents!I24=1,"ADA Mobility",rents!J24=1,"ADA A/V",rents!K24=1, "Adaptable",rents!L24=1,"General",rents!M24=1,"Age Restricted",rents!N24=1,rents!$N$4,rents!O24=1,rents!$O$4,rents!P24=1,"Unrestricted"), ", ",
_xlfn.IFS(rents!V24=1,"30% AMI",rents!W24=1,"40% AMI",rents!X24=1,"50% AMI",rents!Y24=1,"60% AMI",rents!Z24=1,"70% AMI",rents!AA24=1,"80% AMI",rents!AB24=1,"100% AMI",rents!AC24=1,"Market Rate"))</f>
        <v>#N/A</v>
      </c>
      <c r="AU20" s="443" t="e">
        <f t="shared" si="40"/>
        <v>#N/A</v>
      </c>
      <c r="AV20" s="444">
        <f>rents!U24</f>
        <v>0</v>
      </c>
      <c r="AW20" s="445">
        <f>rents!T24</f>
        <v>0</v>
      </c>
      <c r="AX20" s="446">
        <f t="shared" si="11"/>
        <v>0</v>
      </c>
      <c r="AY20" s="446">
        <f t="shared" si="12"/>
        <v>0</v>
      </c>
      <c r="AZ20" s="436">
        <v>9</v>
      </c>
      <c r="BA20" s="447">
        <f t="shared" si="13"/>
        <v>1</v>
      </c>
      <c r="BB20" s="436">
        <v>9</v>
      </c>
      <c r="BC20" s="448">
        <f t="shared" si="14"/>
        <v>1</v>
      </c>
    </row>
    <row r="21" spans="11:55" ht="14.25" customHeight="1">
      <c r="K21" s="434" t="str">
        <f t="shared" si="25"/>
        <v/>
      </c>
      <c r="S21" s="435"/>
      <c r="T21" s="436">
        <f t="shared" si="33"/>
        <v>20</v>
      </c>
      <c r="U21" s="437" t="e">
        <f t="shared" si="0"/>
        <v>#N/A</v>
      </c>
      <c r="V21" s="438">
        <f t="shared" si="1"/>
        <v>0</v>
      </c>
      <c r="W21" s="438">
        <v>1</v>
      </c>
      <c r="X21" s="439" t="e">
        <f t="shared" si="34"/>
        <v>#N/A</v>
      </c>
      <c r="Y21" s="440" t="e">
        <f t="shared" si="2"/>
        <v>#N/A</v>
      </c>
      <c r="Z21" s="441" t="e">
        <f t="shared" si="3"/>
        <v>#N/A</v>
      </c>
      <c r="AA21" s="442" t="str">
        <f t="shared" si="35"/>
        <v/>
      </c>
      <c r="AB21" s="443" t="str">
        <f t="shared" si="36"/>
        <v/>
      </c>
      <c r="AC21" s="444" t="e">
        <f t="shared" si="4"/>
        <v>#N/A</v>
      </c>
      <c r="AD21" s="445" t="e">
        <f t="shared" si="5"/>
        <v>#N/A</v>
      </c>
      <c r="AE21" s="446" t="e">
        <f t="shared" si="6"/>
        <v>#N/A</v>
      </c>
      <c r="AF21" s="446" t="e">
        <f t="shared" si="7"/>
        <v>#N/A</v>
      </c>
      <c r="AG21" s="436">
        <v>0</v>
      </c>
      <c r="AH21" s="447">
        <f t="shared" si="8"/>
        <v>0</v>
      </c>
      <c r="AI21" s="436">
        <v>0</v>
      </c>
      <c r="AJ21" s="448">
        <f t="shared" si="9"/>
        <v>0</v>
      </c>
      <c r="AL21" s="435" t="str">
        <f t="shared" si="37"/>
        <v/>
      </c>
      <c r="AM21" s="436">
        <f t="shared" si="38"/>
        <v>20</v>
      </c>
      <c r="AN21" s="437">
        <f>rents!Q25</f>
        <v>0</v>
      </c>
      <c r="AO21" s="438">
        <v>1</v>
      </c>
      <c r="AP21" s="438">
        <v>1</v>
      </c>
      <c r="AQ21" s="439">
        <f t="shared" si="39"/>
        <v>1</v>
      </c>
      <c r="AR21" s="440">
        <f>rents!R25</f>
        <v>0</v>
      </c>
      <c r="AS21" s="441">
        <f t="shared" si="10"/>
        <v>0</v>
      </c>
      <c r="AT21" s="442" t="e" cm="1">
        <f t="array" ref="AT21">CONCATENATE(_xlfn.IFS(rents!C25=1,"HTF",rents!D25=1,"HOME",rents!E25=1,"Lead Paint",rents!F25=1,"Project Based Assistance",rents!G25=1,"Tax Credit",rents!H25=1,"VHCB",rents!I25=1,"ADA Mobility",rents!J25=1,"ADA A/V",rents!K25=1, "Adaptable",rents!L25=1,"General",rents!M25=1,"Age Restricted",rents!N25=1,rents!$N$4,rents!O25=1,rents!$O$4,rents!P25=1,"Unrestricted"), ", ",
_xlfn.IFS(rents!V25=1,"30% AMI",rents!W25=1,"40% AMI",rents!X25=1,"50% AMI",rents!Y25=1,"60% AMI",rents!Z25=1,"70% AMI",rents!AA25=1,"80% AMI",rents!AB25=1,"100% AMI",rents!AC25=1,"Market Rate"))</f>
        <v>#N/A</v>
      </c>
      <c r="AU21" s="443" t="e">
        <f t="shared" si="40"/>
        <v>#N/A</v>
      </c>
      <c r="AV21" s="444">
        <f>rents!U25</f>
        <v>0</v>
      </c>
      <c r="AW21" s="445">
        <f>rents!T25</f>
        <v>0</v>
      </c>
      <c r="AX21" s="446">
        <f t="shared" si="11"/>
        <v>0</v>
      </c>
      <c r="AY21" s="446">
        <f t="shared" si="12"/>
        <v>0</v>
      </c>
      <c r="AZ21" s="436">
        <v>10</v>
      </c>
      <c r="BA21" s="447">
        <f t="shared" si="13"/>
        <v>1</v>
      </c>
      <c r="BB21" s="436">
        <v>10</v>
      </c>
      <c r="BC21" s="448">
        <f t="shared" si="14"/>
        <v>1</v>
      </c>
    </row>
    <row r="22" spans="11:55" ht="14.25" customHeight="1">
      <c r="K22" s="434" t="str">
        <f t="shared" si="25"/>
        <v/>
      </c>
      <c r="S22" s="435"/>
      <c r="T22" s="436">
        <f t="shared" si="33"/>
        <v>21</v>
      </c>
      <c r="U22" s="437" t="e">
        <f t="shared" si="0"/>
        <v>#N/A</v>
      </c>
      <c r="V22" s="438">
        <f t="shared" si="1"/>
        <v>0</v>
      </c>
      <c r="W22" s="438">
        <v>1</v>
      </c>
      <c r="X22" s="439" t="e">
        <f t="shared" si="34"/>
        <v>#N/A</v>
      </c>
      <c r="Y22" s="440" t="e">
        <f t="shared" si="2"/>
        <v>#N/A</v>
      </c>
      <c r="Z22" s="441" t="e">
        <f t="shared" si="3"/>
        <v>#N/A</v>
      </c>
      <c r="AA22" s="442" t="str">
        <f t="shared" si="35"/>
        <v/>
      </c>
      <c r="AB22" s="443" t="str">
        <f t="shared" si="36"/>
        <v/>
      </c>
      <c r="AC22" s="444" t="e">
        <f t="shared" si="4"/>
        <v>#N/A</v>
      </c>
      <c r="AD22" s="445" t="e">
        <f t="shared" si="5"/>
        <v>#N/A</v>
      </c>
      <c r="AE22" s="446" t="e">
        <f t="shared" si="6"/>
        <v>#N/A</v>
      </c>
      <c r="AF22" s="446" t="e">
        <f t="shared" si="7"/>
        <v>#N/A</v>
      </c>
      <c r="AG22" s="436">
        <v>0</v>
      </c>
      <c r="AH22" s="447">
        <f t="shared" si="8"/>
        <v>0</v>
      </c>
      <c r="AI22" s="436">
        <v>0</v>
      </c>
      <c r="AJ22" s="448">
        <f t="shared" si="9"/>
        <v>0</v>
      </c>
      <c r="AL22" s="435" t="str">
        <f t="shared" si="37"/>
        <v/>
      </c>
      <c r="AM22" s="436">
        <f t="shared" si="38"/>
        <v>21</v>
      </c>
      <c r="AN22" s="437">
        <f>rents!Q26</f>
        <v>0</v>
      </c>
      <c r="AO22" s="438">
        <v>1</v>
      </c>
      <c r="AP22" s="438">
        <v>1</v>
      </c>
      <c r="AQ22" s="439">
        <f t="shared" si="39"/>
        <v>1</v>
      </c>
      <c r="AR22" s="440">
        <f>rents!R26</f>
        <v>0</v>
      </c>
      <c r="AS22" s="441">
        <f t="shared" si="10"/>
        <v>0</v>
      </c>
      <c r="AT22" s="442" t="e" cm="1">
        <f t="array" ref="AT22">CONCATENATE(_xlfn.IFS(rents!C26=1,"HTF",rents!D26=1,"HOME",rents!E26=1,"Lead Paint",rents!F26=1,"Project Based Assistance",rents!G26=1,"Tax Credit",rents!H26=1,"VHCB",rents!I26=1,"ADA Mobility",rents!J26=1,"ADA A/V",rents!K26=1, "Adaptable",rents!L26=1,"General",rents!M26=1,"Age Restricted",rents!N26=1,rents!$N$4,rents!O26=1,rents!$O$4,rents!P26=1,"Unrestricted"), ", ",
_xlfn.IFS(rents!V26=1,"30% AMI",rents!W26=1,"40% AMI",rents!X26=1,"50% AMI",rents!Y26=1,"60% AMI",rents!Z26=1,"70% AMI",rents!AA26=1,"80% AMI",rents!AB26=1,"100% AMI",rents!AC26=1,"Market Rate"))</f>
        <v>#N/A</v>
      </c>
      <c r="AU22" s="443" t="e">
        <f t="shared" si="40"/>
        <v>#N/A</v>
      </c>
      <c r="AV22" s="444">
        <f>rents!U26</f>
        <v>0</v>
      </c>
      <c r="AW22" s="445">
        <f>rents!T26</f>
        <v>0</v>
      </c>
      <c r="AX22" s="446">
        <f t="shared" si="11"/>
        <v>0</v>
      </c>
      <c r="AY22" s="446">
        <f t="shared" si="12"/>
        <v>0</v>
      </c>
      <c r="AZ22" s="436">
        <v>11</v>
      </c>
      <c r="BA22" s="447">
        <f t="shared" si="13"/>
        <v>1</v>
      </c>
      <c r="BB22" s="436">
        <v>11</v>
      </c>
      <c r="BC22" s="448">
        <f t="shared" si="14"/>
        <v>1</v>
      </c>
    </row>
    <row r="23" spans="11:55" ht="14.25" customHeight="1">
      <c r="K23" s="434" t="str">
        <f t="shared" si="25"/>
        <v/>
      </c>
      <c r="S23" s="435"/>
      <c r="T23" s="436">
        <f t="shared" si="33"/>
        <v>22</v>
      </c>
      <c r="U23" s="437" t="e">
        <f t="shared" si="0"/>
        <v>#N/A</v>
      </c>
      <c r="V23" s="438">
        <f t="shared" si="1"/>
        <v>0</v>
      </c>
      <c r="W23" s="438">
        <v>1</v>
      </c>
      <c r="X23" s="439" t="e">
        <f t="shared" si="34"/>
        <v>#N/A</v>
      </c>
      <c r="Y23" s="440" t="e">
        <f t="shared" si="2"/>
        <v>#N/A</v>
      </c>
      <c r="Z23" s="441" t="e">
        <f t="shared" si="3"/>
        <v>#N/A</v>
      </c>
      <c r="AA23" s="442" t="str">
        <f t="shared" si="35"/>
        <v/>
      </c>
      <c r="AB23" s="443" t="str">
        <f t="shared" si="36"/>
        <v/>
      </c>
      <c r="AC23" s="444" t="e">
        <f t="shared" si="4"/>
        <v>#N/A</v>
      </c>
      <c r="AD23" s="445" t="e">
        <f t="shared" si="5"/>
        <v>#N/A</v>
      </c>
      <c r="AE23" s="446" t="e">
        <f t="shared" si="6"/>
        <v>#N/A</v>
      </c>
      <c r="AF23" s="446" t="e">
        <f t="shared" si="7"/>
        <v>#N/A</v>
      </c>
      <c r="AG23" s="436">
        <v>0</v>
      </c>
      <c r="AH23" s="447">
        <f t="shared" si="8"/>
        <v>0</v>
      </c>
      <c r="AI23" s="436">
        <v>0</v>
      </c>
      <c r="AJ23" s="448">
        <f t="shared" si="9"/>
        <v>0</v>
      </c>
      <c r="AL23" s="435" t="str">
        <f t="shared" si="37"/>
        <v/>
      </c>
      <c r="AM23" s="436">
        <f t="shared" si="38"/>
        <v>22</v>
      </c>
      <c r="AN23" s="437">
        <f>rents!Q27</f>
        <v>0</v>
      </c>
      <c r="AO23" s="438">
        <v>1</v>
      </c>
      <c r="AP23" s="438">
        <v>1</v>
      </c>
      <c r="AQ23" s="439">
        <f t="shared" si="39"/>
        <v>1</v>
      </c>
      <c r="AR23" s="440">
        <f>rents!R27</f>
        <v>0</v>
      </c>
      <c r="AS23" s="441">
        <f t="shared" si="10"/>
        <v>0</v>
      </c>
      <c r="AT23" s="442" t="e" cm="1">
        <f t="array" ref="AT23">CONCATENATE(_xlfn.IFS(rents!C27=1,"HTF",rents!D27=1,"HOME",rents!E27=1,"Lead Paint",rents!F27=1,"Project Based Assistance",rents!G27=1,"Tax Credit",rents!H27=1,"VHCB",rents!I27=1,"ADA Mobility",rents!J27=1,"ADA A/V",rents!K27=1, "Adaptable",rents!L27=1,"General",rents!M27=1,"Age Restricted",rents!N27=1,rents!$N$4,rents!O27=1,rents!$O$4,rents!P27=1,"Unrestricted"), ", ",
_xlfn.IFS(rents!V27=1,"30% AMI",rents!W27=1,"40% AMI",rents!X27=1,"50% AMI",rents!Y27=1,"60% AMI",rents!Z27=1,"70% AMI",rents!AA27=1,"80% AMI",rents!AB27=1,"100% AMI",rents!AC27=1,"Market Rate"))</f>
        <v>#N/A</v>
      </c>
      <c r="AU23" s="443" t="e">
        <f t="shared" si="40"/>
        <v>#N/A</v>
      </c>
      <c r="AV23" s="444">
        <f>rents!U27</f>
        <v>0</v>
      </c>
      <c r="AW23" s="445">
        <f>rents!T27</f>
        <v>0</v>
      </c>
      <c r="AX23" s="446">
        <f t="shared" si="11"/>
        <v>0</v>
      </c>
      <c r="AY23" s="446">
        <f t="shared" si="12"/>
        <v>0</v>
      </c>
      <c r="AZ23" s="436">
        <v>12</v>
      </c>
      <c r="BA23" s="447">
        <f t="shared" si="13"/>
        <v>1</v>
      </c>
      <c r="BB23" s="436">
        <v>12</v>
      </c>
      <c r="BC23" s="448">
        <f t="shared" si="14"/>
        <v>1</v>
      </c>
    </row>
    <row r="24" spans="11:55" ht="14.25" customHeight="1">
      <c r="K24" s="434" t="str">
        <f t="shared" si="25"/>
        <v/>
      </c>
      <c r="S24" s="435"/>
      <c r="T24" s="436">
        <f t="shared" si="33"/>
        <v>23</v>
      </c>
      <c r="U24" s="437" t="e">
        <f t="shared" si="0"/>
        <v>#N/A</v>
      </c>
      <c r="V24" s="438">
        <f t="shared" si="1"/>
        <v>0</v>
      </c>
      <c r="W24" s="438">
        <v>1</v>
      </c>
      <c r="X24" s="439" t="e">
        <f t="shared" si="34"/>
        <v>#N/A</v>
      </c>
      <c r="Y24" s="440" t="e">
        <f t="shared" si="2"/>
        <v>#N/A</v>
      </c>
      <c r="Z24" s="441" t="e">
        <f t="shared" si="3"/>
        <v>#N/A</v>
      </c>
      <c r="AA24" s="442" t="str">
        <f t="shared" si="35"/>
        <v/>
      </c>
      <c r="AB24" s="443" t="str">
        <f t="shared" si="36"/>
        <v/>
      </c>
      <c r="AC24" s="444" t="e">
        <f t="shared" si="4"/>
        <v>#N/A</v>
      </c>
      <c r="AD24" s="445" t="e">
        <f t="shared" si="5"/>
        <v>#N/A</v>
      </c>
      <c r="AE24" s="446" t="e">
        <f t="shared" si="6"/>
        <v>#N/A</v>
      </c>
      <c r="AF24" s="446" t="e">
        <f t="shared" si="7"/>
        <v>#N/A</v>
      </c>
      <c r="AG24" s="436">
        <v>0</v>
      </c>
      <c r="AH24" s="447">
        <f t="shared" si="8"/>
        <v>0</v>
      </c>
      <c r="AI24" s="436">
        <v>0</v>
      </c>
      <c r="AJ24" s="448">
        <f t="shared" si="9"/>
        <v>0</v>
      </c>
      <c r="AL24" s="435" t="str">
        <f t="shared" si="37"/>
        <v/>
      </c>
      <c r="AM24" s="436">
        <f t="shared" si="38"/>
        <v>23</v>
      </c>
      <c r="AN24" s="437">
        <f>rents!Q28</f>
        <v>0</v>
      </c>
      <c r="AO24" s="438">
        <v>1</v>
      </c>
      <c r="AP24" s="438">
        <v>1</v>
      </c>
      <c r="AQ24" s="439">
        <f t="shared" si="39"/>
        <v>1</v>
      </c>
      <c r="AR24" s="440">
        <f>rents!R28</f>
        <v>0</v>
      </c>
      <c r="AS24" s="441">
        <f t="shared" si="10"/>
        <v>0</v>
      </c>
      <c r="AT24" s="442" t="e" cm="1">
        <f t="array" ref="AT24">CONCATENATE(_xlfn.IFS(rents!C28=1,"HTF",rents!D28=1,"HOME",rents!E28=1,"Lead Paint",rents!F28=1,"Project Based Assistance",rents!G28=1,"Tax Credit",rents!H28=1,"VHCB",rents!I28=1,"ADA Mobility",rents!J28=1,"ADA A/V",rents!K28=1, "Adaptable",rents!L28=1,"General",rents!M28=1,"Age Restricted",rents!N28=1,rents!$N$4,rents!O28=1,rents!$O$4,rents!P28=1,"Unrestricted"), ", ",
_xlfn.IFS(rents!V28=1,"30% AMI",rents!W28=1,"40% AMI",rents!X28=1,"50% AMI",rents!Y28=1,"60% AMI",rents!Z28=1,"70% AMI",rents!AA28=1,"80% AMI",rents!AB28=1,"100% AMI",rents!AC28=1,"Market Rate"))</f>
        <v>#N/A</v>
      </c>
      <c r="AU24" s="443" t="e">
        <f t="shared" si="40"/>
        <v>#N/A</v>
      </c>
      <c r="AV24" s="444">
        <f>rents!U28</f>
        <v>0</v>
      </c>
      <c r="AW24" s="445">
        <f>rents!T28</f>
        <v>0</v>
      </c>
      <c r="AX24" s="446">
        <f t="shared" si="11"/>
        <v>0</v>
      </c>
      <c r="AY24" s="446">
        <f t="shared" si="12"/>
        <v>0</v>
      </c>
      <c r="AZ24" s="436">
        <v>13</v>
      </c>
      <c r="BA24" s="447">
        <f t="shared" si="13"/>
        <v>1</v>
      </c>
      <c r="BB24" s="436">
        <v>13</v>
      </c>
      <c r="BC24" s="448">
        <f t="shared" si="14"/>
        <v>1</v>
      </c>
    </row>
    <row r="25" spans="11:55" ht="14.25" customHeight="1">
      <c r="K25" s="434" t="str">
        <f t="shared" si="25"/>
        <v/>
      </c>
      <c r="S25" s="435"/>
      <c r="T25" s="436">
        <f t="shared" si="33"/>
        <v>24</v>
      </c>
      <c r="U25" s="437" t="e">
        <f t="shared" si="0"/>
        <v>#N/A</v>
      </c>
      <c r="V25" s="438">
        <f t="shared" si="1"/>
        <v>0</v>
      </c>
      <c r="W25" s="438">
        <v>1</v>
      </c>
      <c r="X25" s="439" t="e">
        <f t="shared" si="34"/>
        <v>#N/A</v>
      </c>
      <c r="Y25" s="440" t="e">
        <f t="shared" si="2"/>
        <v>#N/A</v>
      </c>
      <c r="Z25" s="441" t="e">
        <f t="shared" si="3"/>
        <v>#N/A</v>
      </c>
      <c r="AA25" s="442" t="str">
        <f t="shared" si="35"/>
        <v/>
      </c>
      <c r="AB25" s="443" t="str">
        <f t="shared" si="36"/>
        <v/>
      </c>
      <c r="AC25" s="444" t="e">
        <f t="shared" si="4"/>
        <v>#N/A</v>
      </c>
      <c r="AD25" s="445" t="e">
        <f t="shared" si="5"/>
        <v>#N/A</v>
      </c>
      <c r="AE25" s="446" t="e">
        <f t="shared" si="6"/>
        <v>#N/A</v>
      </c>
      <c r="AF25" s="446" t="e">
        <f t="shared" si="7"/>
        <v>#N/A</v>
      </c>
      <c r="AG25" s="436">
        <v>0</v>
      </c>
      <c r="AH25" s="447">
        <f t="shared" si="8"/>
        <v>0</v>
      </c>
      <c r="AI25" s="436">
        <v>0</v>
      </c>
      <c r="AJ25" s="448">
        <f t="shared" si="9"/>
        <v>0</v>
      </c>
      <c r="AL25" s="435" t="str">
        <f t="shared" si="37"/>
        <v/>
      </c>
      <c r="AM25" s="436">
        <f t="shared" si="38"/>
        <v>24</v>
      </c>
      <c r="AN25" s="437">
        <f>rents!Q29</f>
        <v>0</v>
      </c>
      <c r="AO25" s="438">
        <v>1</v>
      </c>
      <c r="AP25" s="438">
        <v>1</v>
      </c>
      <c r="AQ25" s="439">
        <f t="shared" si="39"/>
        <v>1</v>
      </c>
      <c r="AR25" s="440">
        <f>rents!R29</f>
        <v>0</v>
      </c>
      <c r="AS25" s="441">
        <f t="shared" si="10"/>
        <v>0</v>
      </c>
      <c r="AT25" s="442" t="e" cm="1">
        <f t="array" ref="AT25">CONCATENATE(_xlfn.IFS(rents!C29=1,"HTF",rents!D29=1,"HOME",rents!E29=1,"Lead Paint",rents!F29=1,"Project Based Assistance",rents!G29=1,"Tax Credit",rents!H29=1,"VHCB",rents!I29=1,"ADA Mobility",rents!J29=1,"ADA A/V",rents!K29=1, "Adaptable",rents!L29=1,"General",rents!M29=1,"Age Restricted",rents!N29=1,rents!$N$4,rents!O29=1,rents!$O$4,rents!P29=1,"Unrestricted"), ", ",
_xlfn.IFS(rents!V29=1,"30% AMI",rents!W29=1,"40% AMI",rents!X29=1,"50% AMI",rents!Y29=1,"60% AMI",rents!Z29=1,"70% AMI",rents!AA29=1,"80% AMI",rents!AB29=1,"100% AMI",rents!AC29=1,"Market Rate"))</f>
        <v>#N/A</v>
      </c>
      <c r="AU25" s="443" t="e">
        <f t="shared" si="40"/>
        <v>#N/A</v>
      </c>
      <c r="AV25" s="444">
        <f>rents!U29</f>
        <v>0</v>
      </c>
      <c r="AW25" s="445">
        <f>rents!T29</f>
        <v>0</v>
      </c>
      <c r="AX25" s="446">
        <f t="shared" si="11"/>
        <v>0</v>
      </c>
      <c r="AY25" s="446">
        <f t="shared" si="12"/>
        <v>0</v>
      </c>
      <c r="AZ25" s="436">
        <v>14</v>
      </c>
      <c r="BA25" s="447">
        <f t="shared" si="13"/>
        <v>1</v>
      </c>
      <c r="BB25" s="436">
        <v>14</v>
      </c>
      <c r="BC25" s="448">
        <f t="shared" si="14"/>
        <v>1</v>
      </c>
    </row>
    <row r="26" spans="11:55" ht="14.25" customHeight="1">
      <c r="K26" s="434" t="str">
        <f t="shared" si="25"/>
        <v/>
      </c>
      <c r="S26" s="435"/>
      <c r="T26" s="436">
        <f t="shared" si="33"/>
        <v>25</v>
      </c>
      <c r="U26" s="437" t="e">
        <f t="shared" si="0"/>
        <v>#N/A</v>
      </c>
      <c r="V26" s="438">
        <f t="shared" si="1"/>
        <v>0</v>
      </c>
      <c r="W26" s="438">
        <v>1</v>
      </c>
      <c r="X26" s="439" t="e">
        <f t="shared" si="34"/>
        <v>#N/A</v>
      </c>
      <c r="Y26" s="440" t="e">
        <f t="shared" si="2"/>
        <v>#N/A</v>
      </c>
      <c r="Z26" s="441" t="e">
        <f t="shared" si="3"/>
        <v>#N/A</v>
      </c>
      <c r="AA26" s="442" t="str">
        <f t="shared" si="35"/>
        <v/>
      </c>
      <c r="AB26" s="443" t="str">
        <f t="shared" si="36"/>
        <v/>
      </c>
      <c r="AC26" s="444" t="e">
        <f t="shared" si="4"/>
        <v>#N/A</v>
      </c>
      <c r="AD26" s="445" t="e">
        <f t="shared" si="5"/>
        <v>#N/A</v>
      </c>
      <c r="AE26" s="446" t="e">
        <f t="shared" si="6"/>
        <v>#N/A</v>
      </c>
      <c r="AF26" s="446" t="e">
        <f t="shared" si="7"/>
        <v>#N/A</v>
      </c>
      <c r="AG26" s="436">
        <v>0</v>
      </c>
      <c r="AH26" s="447">
        <f t="shared" si="8"/>
        <v>0</v>
      </c>
      <c r="AI26" s="436">
        <v>0</v>
      </c>
      <c r="AJ26" s="448">
        <f t="shared" si="9"/>
        <v>0</v>
      </c>
      <c r="AL26" s="435" t="str">
        <f t="shared" si="37"/>
        <v/>
      </c>
      <c r="AM26" s="436">
        <f t="shared" si="38"/>
        <v>25</v>
      </c>
      <c r="AN26" s="437">
        <f>rents!Q30</f>
        <v>0</v>
      </c>
      <c r="AO26" s="438">
        <v>1</v>
      </c>
      <c r="AP26" s="438">
        <v>1</v>
      </c>
      <c r="AQ26" s="439">
        <f t="shared" si="39"/>
        <v>1</v>
      </c>
      <c r="AR26" s="440">
        <f>rents!R30</f>
        <v>0</v>
      </c>
      <c r="AS26" s="441">
        <f t="shared" si="10"/>
        <v>0</v>
      </c>
      <c r="AT26" s="442" t="e" cm="1">
        <f t="array" ref="AT26">CONCATENATE(_xlfn.IFS(rents!C30=1,"HTF",rents!D30=1,"HOME",rents!E30=1,"Lead Paint",rents!F30=1,"Project Based Assistance",rents!G30=1,"Tax Credit",rents!H30=1,"VHCB",rents!I30=1,"ADA Mobility",rents!J30=1,"ADA A/V",rents!K30=1, "Adaptable",rents!L30=1,"General",rents!M30=1,"Age Restricted",rents!N30=1,rents!$N$4,rents!O30=1,rents!$O$4,rents!P30=1,"Unrestricted"), ", ",
_xlfn.IFS(rents!V30=1,"30% AMI",rents!W30=1,"40% AMI",rents!X30=1,"50% AMI",rents!Y30=1,"60% AMI",rents!Z30=1,"70% AMI",rents!AA30=1,"80% AMI",rents!AB30=1,"100% AMI",rents!AC30=1,"Market Rate"))</f>
        <v>#N/A</v>
      </c>
      <c r="AU26" s="443" t="e">
        <f t="shared" si="40"/>
        <v>#N/A</v>
      </c>
      <c r="AV26" s="444">
        <f>rents!U30</f>
        <v>0</v>
      </c>
      <c r="AW26" s="445">
        <f>rents!T30</f>
        <v>0</v>
      </c>
      <c r="AX26" s="446">
        <f t="shared" si="11"/>
        <v>0</v>
      </c>
      <c r="AY26" s="446">
        <f t="shared" si="12"/>
        <v>0</v>
      </c>
      <c r="AZ26" s="436">
        <v>15</v>
      </c>
      <c r="BA26" s="447">
        <f t="shared" si="13"/>
        <v>1</v>
      </c>
      <c r="BB26" s="436">
        <v>15</v>
      </c>
      <c r="BC26" s="448">
        <f t="shared" si="14"/>
        <v>1</v>
      </c>
    </row>
    <row r="27" spans="11:55" ht="14.25" customHeight="1">
      <c r="K27" s="434" t="str">
        <f t="shared" si="25"/>
        <v/>
      </c>
      <c r="S27" s="435"/>
      <c r="T27" s="436">
        <f t="shared" si="33"/>
        <v>26</v>
      </c>
      <c r="U27" s="437" t="e">
        <f t="shared" si="0"/>
        <v>#N/A</v>
      </c>
      <c r="V27" s="438">
        <f t="shared" si="1"/>
        <v>0</v>
      </c>
      <c r="W27" s="438">
        <v>1</v>
      </c>
      <c r="X27" s="439" t="e">
        <f t="shared" si="34"/>
        <v>#N/A</v>
      </c>
      <c r="Y27" s="440" t="e">
        <f t="shared" si="2"/>
        <v>#N/A</v>
      </c>
      <c r="Z27" s="441" t="e">
        <f t="shared" si="3"/>
        <v>#N/A</v>
      </c>
      <c r="AA27" s="442" t="str">
        <f t="shared" si="35"/>
        <v/>
      </c>
      <c r="AB27" s="443" t="str">
        <f t="shared" si="36"/>
        <v/>
      </c>
      <c r="AC27" s="444" t="e">
        <f t="shared" si="4"/>
        <v>#N/A</v>
      </c>
      <c r="AD27" s="445" t="e">
        <f t="shared" si="5"/>
        <v>#N/A</v>
      </c>
      <c r="AE27" s="446" t="e">
        <f t="shared" si="6"/>
        <v>#N/A</v>
      </c>
      <c r="AF27" s="446" t="e">
        <f t="shared" si="7"/>
        <v>#N/A</v>
      </c>
      <c r="AG27" s="436">
        <v>0</v>
      </c>
      <c r="AH27" s="447">
        <f t="shared" si="8"/>
        <v>0</v>
      </c>
      <c r="AI27" s="436">
        <v>0</v>
      </c>
      <c r="AJ27" s="448">
        <f t="shared" si="9"/>
        <v>0</v>
      </c>
      <c r="AL27" s="435" t="str">
        <f t="shared" si="37"/>
        <v/>
      </c>
      <c r="AM27" s="436">
        <f t="shared" si="38"/>
        <v>26</v>
      </c>
      <c r="AN27" s="437">
        <f>rents!Q31</f>
        <v>0</v>
      </c>
      <c r="AO27" s="438">
        <v>1</v>
      </c>
      <c r="AP27" s="438">
        <v>1</v>
      </c>
      <c r="AQ27" s="439">
        <f t="shared" si="39"/>
        <v>1</v>
      </c>
      <c r="AR27" s="440">
        <f>rents!R31</f>
        <v>0</v>
      </c>
      <c r="AS27" s="441">
        <f t="shared" si="10"/>
        <v>0</v>
      </c>
      <c r="AT27" s="442" t="e" cm="1">
        <f t="array" ref="AT27">CONCATENATE(_xlfn.IFS(rents!C31=1,"HTF",rents!D31=1,"HOME",rents!E31=1,"Lead Paint",rents!F31=1,"Project Based Assistance",rents!G31=1,"Tax Credit",rents!H31=1,"VHCB",rents!I31=1,"ADA Mobility",rents!J31=1,"ADA A/V",rents!K31=1, "Adaptable",rents!L31=1,"General",rents!M31=1,"Age Restricted",rents!N31=1,rents!$N$4,rents!O31=1,rents!$O$4,rents!P31=1,"Unrestricted"), ", ",
_xlfn.IFS(rents!V31=1,"30% AMI",rents!W31=1,"40% AMI",rents!X31=1,"50% AMI",rents!Y31=1,"60% AMI",rents!Z31=1,"70% AMI",rents!AA31=1,"80% AMI",rents!AB31=1,"100% AMI",rents!AC31=1,"Market Rate"))</f>
        <v>#N/A</v>
      </c>
      <c r="AU27" s="443" t="e">
        <f t="shared" si="40"/>
        <v>#N/A</v>
      </c>
      <c r="AV27" s="444">
        <f>rents!U31</f>
        <v>0</v>
      </c>
      <c r="AW27" s="445">
        <f>rents!T31</f>
        <v>0</v>
      </c>
      <c r="AX27" s="446">
        <f t="shared" si="11"/>
        <v>0</v>
      </c>
      <c r="AY27" s="446">
        <f t="shared" si="12"/>
        <v>0</v>
      </c>
      <c r="AZ27" s="436">
        <v>16</v>
      </c>
      <c r="BA27" s="447">
        <f t="shared" si="13"/>
        <v>1</v>
      </c>
      <c r="BB27" s="436">
        <v>16</v>
      </c>
      <c r="BC27" s="448">
        <f t="shared" si="14"/>
        <v>1</v>
      </c>
    </row>
    <row r="28" spans="11:55" ht="14.25" customHeight="1">
      <c r="K28" s="434" t="str">
        <f t="shared" si="25"/>
        <v/>
      </c>
      <c r="S28" s="435"/>
      <c r="T28" s="436">
        <f t="shared" si="33"/>
        <v>27</v>
      </c>
      <c r="U28" s="437" t="e">
        <f t="shared" si="0"/>
        <v>#N/A</v>
      </c>
      <c r="V28" s="438">
        <f t="shared" si="1"/>
        <v>0</v>
      </c>
      <c r="W28" s="438">
        <v>1</v>
      </c>
      <c r="X28" s="439" t="e">
        <f t="shared" si="34"/>
        <v>#N/A</v>
      </c>
      <c r="Y28" s="440" t="e">
        <f t="shared" si="2"/>
        <v>#N/A</v>
      </c>
      <c r="Z28" s="441" t="e">
        <f t="shared" si="3"/>
        <v>#N/A</v>
      </c>
      <c r="AA28" s="442" t="str">
        <f t="shared" si="35"/>
        <v/>
      </c>
      <c r="AB28" s="443" t="str">
        <f t="shared" si="36"/>
        <v/>
      </c>
      <c r="AC28" s="444" t="e">
        <f t="shared" si="4"/>
        <v>#N/A</v>
      </c>
      <c r="AD28" s="445" t="e">
        <f t="shared" si="5"/>
        <v>#N/A</v>
      </c>
      <c r="AE28" s="446" t="e">
        <f t="shared" si="6"/>
        <v>#N/A</v>
      </c>
      <c r="AF28" s="446" t="e">
        <f t="shared" si="7"/>
        <v>#N/A</v>
      </c>
      <c r="AG28" s="436">
        <v>0</v>
      </c>
      <c r="AH28" s="447">
        <f t="shared" si="8"/>
        <v>0</v>
      </c>
      <c r="AI28" s="436">
        <v>0</v>
      </c>
      <c r="AJ28" s="448">
        <f t="shared" si="9"/>
        <v>0</v>
      </c>
      <c r="AL28" s="435" t="str">
        <f t="shared" si="37"/>
        <v/>
      </c>
      <c r="AM28" s="436">
        <f t="shared" si="38"/>
        <v>27</v>
      </c>
      <c r="AN28" s="437">
        <f>rents!Q32</f>
        <v>0</v>
      </c>
      <c r="AO28" s="438">
        <v>1</v>
      </c>
      <c r="AP28" s="438">
        <v>1</v>
      </c>
      <c r="AQ28" s="439">
        <f t="shared" si="39"/>
        <v>1</v>
      </c>
      <c r="AR28" s="440">
        <f>rents!R32</f>
        <v>0</v>
      </c>
      <c r="AS28" s="441">
        <f t="shared" si="10"/>
        <v>0</v>
      </c>
      <c r="AT28" s="442" t="e" cm="1">
        <f t="array" ref="AT28">CONCATENATE(_xlfn.IFS(rents!C32=1,"HTF",rents!D32=1,"HOME",rents!E32=1,"Lead Paint",rents!F32=1,"Project Based Assistance",rents!G32=1,"Tax Credit",rents!H32=1,"VHCB",rents!I32=1,"ADA Mobility",rents!J32=1,"ADA A/V",rents!K32=1, "Adaptable",rents!L32=1,"General",rents!M32=1,"Age Restricted",rents!N32=1,rents!$N$4,rents!O32=1,rents!$O$4,rents!P32=1,"Unrestricted"), ", ",
_xlfn.IFS(rents!V32=1,"30% AMI",rents!W32=1,"40% AMI",rents!X32=1,"50% AMI",rents!Y32=1,"60% AMI",rents!Z32=1,"70% AMI",rents!AA32=1,"80% AMI",rents!AB32=1,"100% AMI",rents!AC32=1,"Market Rate"))</f>
        <v>#N/A</v>
      </c>
      <c r="AU28" s="443" t="e">
        <f t="shared" si="40"/>
        <v>#N/A</v>
      </c>
      <c r="AV28" s="444">
        <f>rents!U32</f>
        <v>0</v>
      </c>
      <c r="AW28" s="445">
        <f>rents!T32</f>
        <v>0</v>
      </c>
      <c r="AX28" s="446">
        <f t="shared" si="11"/>
        <v>0</v>
      </c>
      <c r="AY28" s="446">
        <f t="shared" si="12"/>
        <v>0</v>
      </c>
      <c r="AZ28" s="436">
        <v>17</v>
      </c>
      <c r="BA28" s="447">
        <f t="shared" si="13"/>
        <v>1</v>
      </c>
      <c r="BB28" s="436">
        <v>17</v>
      </c>
      <c r="BC28" s="448">
        <f t="shared" si="14"/>
        <v>1</v>
      </c>
    </row>
    <row r="29" spans="11:55" ht="14.25" customHeight="1">
      <c r="K29" s="434" t="str">
        <f t="shared" si="25"/>
        <v/>
      </c>
      <c r="S29" s="435"/>
      <c r="T29" s="436">
        <f t="shared" si="33"/>
        <v>28</v>
      </c>
      <c r="U29" s="437" t="e">
        <f t="shared" si="0"/>
        <v>#N/A</v>
      </c>
      <c r="V29" s="438">
        <f t="shared" si="1"/>
        <v>0</v>
      </c>
      <c r="W29" s="438">
        <v>1</v>
      </c>
      <c r="X29" s="439" t="e">
        <f t="shared" si="34"/>
        <v>#N/A</v>
      </c>
      <c r="Y29" s="440" t="e">
        <f t="shared" si="2"/>
        <v>#N/A</v>
      </c>
      <c r="Z29" s="441" t="e">
        <f t="shared" si="3"/>
        <v>#N/A</v>
      </c>
      <c r="AA29" s="442" t="str">
        <f t="shared" si="35"/>
        <v/>
      </c>
      <c r="AB29" s="443" t="str">
        <f t="shared" si="36"/>
        <v/>
      </c>
      <c r="AC29" s="444" t="e">
        <f t="shared" si="4"/>
        <v>#N/A</v>
      </c>
      <c r="AD29" s="445" t="e">
        <f t="shared" si="5"/>
        <v>#N/A</v>
      </c>
      <c r="AE29" s="446" t="e">
        <f t="shared" si="6"/>
        <v>#N/A</v>
      </c>
      <c r="AF29" s="446" t="e">
        <f t="shared" si="7"/>
        <v>#N/A</v>
      </c>
      <c r="AG29" s="436">
        <v>0</v>
      </c>
      <c r="AH29" s="447">
        <f t="shared" si="8"/>
        <v>0</v>
      </c>
      <c r="AI29" s="436">
        <v>0</v>
      </c>
      <c r="AJ29" s="448">
        <f t="shared" si="9"/>
        <v>0</v>
      </c>
      <c r="AL29" s="435" t="str">
        <f t="shared" si="37"/>
        <v/>
      </c>
      <c r="AM29" s="436">
        <f t="shared" si="38"/>
        <v>28</v>
      </c>
      <c r="AN29" s="437">
        <f>rents!Q33</f>
        <v>0</v>
      </c>
      <c r="AO29" s="438">
        <v>1</v>
      </c>
      <c r="AP29" s="438">
        <v>1</v>
      </c>
      <c r="AQ29" s="439">
        <f t="shared" si="39"/>
        <v>1</v>
      </c>
      <c r="AR29" s="440">
        <f>rents!R33</f>
        <v>0</v>
      </c>
      <c r="AS29" s="441">
        <f t="shared" si="10"/>
        <v>0</v>
      </c>
      <c r="AT29" s="442" t="e" cm="1">
        <f t="array" ref="AT29">CONCATENATE(_xlfn.IFS(rents!C33=1,"HTF",rents!D33=1,"HOME",rents!E33=1,"Lead Paint",rents!F33=1,"Project Based Assistance",rents!G33=1,"Tax Credit",rents!H33=1,"VHCB",rents!I33=1,"ADA Mobility",rents!J33=1,"ADA A/V",rents!K33=1, "Adaptable",rents!L33=1,"General",rents!M33=1,"Age Restricted",rents!N33=1,rents!$N$4,rents!O33=1,rents!$O$4,rents!P33=1,"Unrestricted"), ", ",
_xlfn.IFS(rents!V33=1,"30% AMI",rents!W33=1,"40% AMI",rents!X33=1,"50% AMI",rents!Y33=1,"60% AMI",rents!Z33=1,"70% AMI",rents!AA33=1,"80% AMI",rents!AB33=1,"100% AMI",rents!AC33=1,"Market Rate"))</f>
        <v>#N/A</v>
      </c>
      <c r="AU29" s="443" t="e">
        <f t="shared" si="40"/>
        <v>#N/A</v>
      </c>
      <c r="AV29" s="444">
        <f>rents!U33</f>
        <v>0</v>
      </c>
      <c r="AW29" s="445">
        <f>rents!T33</f>
        <v>0</v>
      </c>
      <c r="AX29" s="446">
        <f t="shared" si="11"/>
        <v>0</v>
      </c>
      <c r="AY29" s="446">
        <f t="shared" si="12"/>
        <v>0</v>
      </c>
      <c r="AZ29" s="436">
        <v>18</v>
      </c>
      <c r="BA29" s="447">
        <f t="shared" si="13"/>
        <v>1</v>
      </c>
      <c r="BB29" s="436">
        <v>18</v>
      </c>
      <c r="BC29" s="448">
        <f t="shared" si="14"/>
        <v>1</v>
      </c>
    </row>
    <row r="30" spans="11:55" ht="14.25" customHeight="1">
      <c r="K30" s="434" t="str">
        <f t="shared" si="25"/>
        <v/>
      </c>
      <c r="S30" s="435"/>
      <c r="T30" s="436">
        <f t="shared" si="33"/>
        <v>29</v>
      </c>
      <c r="U30" s="437" t="e">
        <f t="shared" si="0"/>
        <v>#N/A</v>
      </c>
      <c r="V30" s="438">
        <f t="shared" si="1"/>
        <v>0</v>
      </c>
      <c r="W30" s="438">
        <v>1</v>
      </c>
      <c r="X30" s="439" t="e">
        <f t="shared" si="34"/>
        <v>#N/A</v>
      </c>
      <c r="Y30" s="440" t="e">
        <f t="shared" si="2"/>
        <v>#N/A</v>
      </c>
      <c r="Z30" s="441" t="e">
        <f t="shared" si="3"/>
        <v>#N/A</v>
      </c>
      <c r="AA30" s="442" t="str">
        <f t="shared" si="35"/>
        <v/>
      </c>
      <c r="AB30" s="443" t="str">
        <f t="shared" si="36"/>
        <v/>
      </c>
      <c r="AC30" s="444" t="e">
        <f t="shared" si="4"/>
        <v>#N/A</v>
      </c>
      <c r="AD30" s="445" t="e">
        <f t="shared" si="5"/>
        <v>#N/A</v>
      </c>
      <c r="AE30" s="446" t="e">
        <f t="shared" si="6"/>
        <v>#N/A</v>
      </c>
      <c r="AF30" s="446" t="e">
        <f t="shared" si="7"/>
        <v>#N/A</v>
      </c>
      <c r="AG30" s="436">
        <v>0</v>
      </c>
      <c r="AH30" s="447">
        <f t="shared" si="8"/>
        <v>0</v>
      </c>
      <c r="AI30" s="436">
        <v>0</v>
      </c>
      <c r="AJ30" s="448">
        <f t="shared" si="9"/>
        <v>0</v>
      </c>
      <c r="AL30" s="435" t="str">
        <f t="shared" si="37"/>
        <v/>
      </c>
      <c r="AM30" s="436">
        <f t="shared" si="38"/>
        <v>29</v>
      </c>
      <c r="AN30" s="437">
        <f>rents!Q34</f>
        <v>0</v>
      </c>
      <c r="AO30" s="438">
        <v>1</v>
      </c>
      <c r="AP30" s="438">
        <v>1</v>
      </c>
      <c r="AQ30" s="439">
        <f t="shared" si="39"/>
        <v>1</v>
      </c>
      <c r="AR30" s="440">
        <f>rents!R34</f>
        <v>0</v>
      </c>
      <c r="AS30" s="441">
        <f t="shared" si="10"/>
        <v>0</v>
      </c>
      <c r="AT30" s="442" t="e" cm="1">
        <f t="array" ref="AT30">CONCATENATE(_xlfn.IFS(rents!C34=1,"HTF",rents!D34=1,"HOME",rents!E34=1,"Lead Paint",rents!F34=1,"Project Based Assistance",rents!G34=1,"Tax Credit",rents!H34=1,"VHCB",rents!I34=1,"ADA Mobility",rents!J34=1,"ADA A/V",rents!K34=1, "Adaptable",rents!L34=1,"General",rents!M34=1,"Age Restricted",rents!N34=1,rents!$N$4,rents!O34=1,rents!$O$4,rents!P34=1,"Unrestricted"), ", ",
_xlfn.IFS(rents!V34=1,"30% AMI",rents!W34=1,"40% AMI",rents!X34=1,"50% AMI",rents!Y34=1,"60% AMI",rents!Z34=1,"70% AMI",rents!AA34=1,"80% AMI",rents!AB34=1,"100% AMI",rents!AC34=1,"Market Rate"))</f>
        <v>#N/A</v>
      </c>
      <c r="AU30" s="443" t="e">
        <f t="shared" si="40"/>
        <v>#N/A</v>
      </c>
      <c r="AV30" s="444">
        <f>rents!U34</f>
        <v>0</v>
      </c>
      <c r="AW30" s="445">
        <f>rents!T34</f>
        <v>0</v>
      </c>
      <c r="AX30" s="446">
        <f t="shared" si="11"/>
        <v>0</v>
      </c>
      <c r="AY30" s="446">
        <f t="shared" si="12"/>
        <v>0</v>
      </c>
      <c r="AZ30" s="436">
        <v>19</v>
      </c>
      <c r="BA30" s="447">
        <f t="shared" si="13"/>
        <v>1</v>
      </c>
      <c r="BB30" s="436">
        <v>19</v>
      </c>
      <c r="BC30" s="448">
        <f t="shared" si="14"/>
        <v>1</v>
      </c>
    </row>
    <row r="31" spans="11:55" ht="14.25" customHeight="1">
      <c r="K31" s="434" t="str">
        <f t="shared" si="25"/>
        <v/>
      </c>
      <c r="S31" s="435"/>
      <c r="T31" s="436">
        <f t="shared" si="33"/>
        <v>30</v>
      </c>
      <c r="U31" s="437" t="e">
        <f t="shared" si="0"/>
        <v>#N/A</v>
      </c>
      <c r="V31" s="438">
        <f t="shared" si="1"/>
        <v>0</v>
      </c>
      <c r="W31" s="438">
        <v>1</v>
      </c>
      <c r="X31" s="439" t="e">
        <f t="shared" si="34"/>
        <v>#N/A</v>
      </c>
      <c r="Y31" s="440" t="e">
        <f t="shared" si="2"/>
        <v>#N/A</v>
      </c>
      <c r="Z31" s="441" t="e">
        <f t="shared" si="3"/>
        <v>#N/A</v>
      </c>
      <c r="AA31" s="442" t="str">
        <f t="shared" si="35"/>
        <v/>
      </c>
      <c r="AB31" s="443" t="str">
        <f t="shared" si="36"/>
        <v/>
      </c>
      <c r="AC31" s="444" t="e">
        <f t="shared" si="4"/>
        <v>#N/A</v>
      </c>
      <c r="AD31" s="445" t="e">
        <f t="shared" si="5"/>
        <v>#N/A</v>
      </c>
      <c r="AE31" s="446" t="e">
        <f t="shared" si="6"/>
        <v>#N/A</v>
      </c>
      <c r="AF31" s="446" t="e">
        <f t="shared" si="7"/>
        <v>#N/A</v>
      </c>
      <c r="AG31" s="436">
        <v>0</v>
      </c>
      <c r="AH31" s="447">
        <f t="shared" si="8"/>
        <v>0</v>
      </c>
      <c r="AI31" s="436">
        <v>0</v>
      </c>
      <c r="AJ31" s="448">
        <f t="shared" si="9"/>
        <v>0</v>
      </c>
      <c r="AL31" s="435" t="str">
        <f t="shared" si="37"/>
        <v/>
      </c>
      <c r="AM31" s="436">
        <f t="shared" si="38"/>
        <v>30</v>
      </c>
      <c r="AN31" s="437">
        <f>rents!Q35</f>
        <v>0</v>
      </c>
      <c r="AO31" s="438">
        <v>1</v>
      </c>
      <c r="AP31" s="438">
        <v>1</v>
      </c>
      <c r="AQ31" s="439">
        <f t="shared" si="39"/>
        <v>1</v>
      </c>
      <c r="AR31" s="440">
        <f>rents!R35</f>
        <v>0</v>
      </c>
      <c r="AS31" s="441">
        <f t="shared" si="10"/>
        <v>0</v>
      </c>
      <c r="AT31" s="442" t="e" cm="1">
        <f t="array" ref="AT31">CONCATENATE(_xlfn.IFS(rents!C35=1,"HTF",rents!D35=1,"HOME",rents!E35=1,"Lead Paint",rents!F35=1,"Project Based Assistance",rents!G35=1,"Tax Credit",rents!H35=1,"VHCB",rents!I35=1,"ADA Mobility",rents!J35=1,"ADA A/V",rents!K35=1, "Adaptable",rents!L35=1,"General",rents!M35=1,"Age Restricted",rents!N35=1,rents!$N$4,rents!O35=1,rents!$O$4,rents!P35=1,"Unrestricted"), ", ",
_xlfn.IFS(rents!V35=1,"30% AMI",rents!W35=1,"40% AMI",rents!X35=1,"50% AMI",rents!Y35=1,"60% AMI",rents!Z35=1,"70% AMI",rents!AA35=1,"80% AMI",rents!AB35=1,"100% AMI",rents!AC35=1,"Market Rate"))</f>
        <v>#N/A</v>
      </c>
      <c r="AU31" s="443" t="e">
        <f t="shared" si="40"/>
        <v>#N/A</v>
      </c>
      <c r="AV31" s="444">
        <f>rents!U35</f>
        <v>0</v>
      </c>
      <c r="AW31" s="445">
        <f>rents!T35</f>
        <v>0</v>
      </c>
      <c r="AX31" s="446">
        <f t="shared" si="11"/>
        <v>0</v>
      </c>
      <c r="AY31" s="446">
        <f t="shared" si="12"/>
        <v>0</v>
      </c>
      <c r="AZ31" s="436">
        <v>20</v>
      </c>
      <c r="BA31" s="447">
        <f t="shared" si="13"/>
        <v>1</v>
      </c>
      <c r="BB31" s="436">
        <v>20</v>
      </c>
      <c r="BC31" s="448">
        <f t="shared" si="14"/>
        <v>1</v>
      </c>
    </row>
    <row r="32" spans="11:55" ht="14.25" customHeight="1">
      <c r="K32" s="434" t="str">
        <f t="shared" si="25"/>
        <v/>
      </c>
      <c r="S32" s="435"/>
      <c r="T32" s="436">
        <f t="shared" si="33"/>
        <v>31</v>
      </c>
      <c r="U32" s="437" t="e">
        <f t="shared" si="0"/>
        <v>#N/A</v>
      </c>
      <c r="V32" s="438">
        <f t="shared" si="1"/>
        <v>0</v>
      </c>
      <c r="W32" s="438">
        <v>1</v>
      </c>
      <c r="X32" s="439" t="e">
        <f t="shared" si="34"/>
        <v>#N/A</v>
      </c>
      <c r="Y32" s="440" t="e">
        <f t="shared" si="2"/>
        <v>#N/A</v>
      </c>
      <c r="Z32" s="441" t="e">
        <f t="shared" si="3"/>
        <v>#N/A</v>
      </c>
      <c r="AA32" s="442" t="str">
        <f t="shared" si="35"/>
        <v/>
      </c>
      <c r="AB32" s="443" t="str">
        <f t="shared" si="36"/>
        <v/>
      </c>
      <c r="AC32" s="444" t="e">
        <f t="shared" si="4"/>
        <v>#N/A</v>
      </c>
      <c r="AD32" s="445" t="e">
        <f t="shared" si="5"/>
        <v>#N/A</v>
      </c>
      <c r="AE32" s="446" t="e">
        <f t="shared" si="6"/>
        <v>#N/A</v>
      </c>
      <c r="AF32" s="446" t="e">
        <f t="shared" si="7"/>
        <v>#N/A</v>
      </c>
      <c r="AG32" s="436">
        <v>0</v>
      </c>
      <c r="AH32" s="447">
        <f t="shared" si="8"/>
        <v>0</v>
      </c>
      <c r="AI32" s="436">
        <v>0</v>
      </c>
      <c r="AJ32" s="448">
        <f t="shared" si="9"/>
        <v>0</v>
      </c>
      <c r="AL32" s="435" t="str">
        <f t="shared" si="37"/>
        <v/>
      </c>
      <c r="AM32" s="436">
        <f t="shared" si="38"/>
        <v>31</v>
      </c>
      <c r="AN32" s="437">
        <f>rents!Q36</f>
        <v>0</v>
      </c>
      <c r="AO32" s="438">
        <v>1</v>
      </c>
      <c r="AP32" s="438">
        <v>1</v>
      </c>
      <c r="AQ32" s="439">
        <f t="shared" si="39"/>
        <v>1</v>
      </c>
      <c r="AR32" s="440">
        <f>rents!R36</f>
        <v>0</v>
      </c>
      <c r="AS32" s="441">
        <f t="shared" si="10"/>
        <v>0</v>
      </c>
      <c r="AT32" s="442" t="e" cm="1">
        <f t="array" ref="AT32">CONCATENATE(_xlfn.IFS(rents!C36=1,"HTF",rents!D36=1,"HOME",rents!E36=1,"Lead Paint",rents!F36=1,"Project Based Assistance",rents!G36=1,"Tax Credit",rents!H36=1,"VHCB",rents!I36=1,"ADA Mobility",rents!J36=1,"ADA A/V",rents!K36=1, "Adaptable",rents!L36=1,"General",rents!M36=1,"Age Restricted",rents!N36=1,rents!$N$4,rents!O36=1,rents!$O$4,rents!P36=1,"Unrestricted"), ", ",
_xlfn.IFS(rents!V36=1,"30% AMI",rents!W36=1,"40% AMI",rents!X36=1,"50% AMI",rents!Y36=1,"60% AMI",rents!Z36=1,"70% AMI",rents!AA36=1,"80% AMI",rents!AB36=1,"100% AMI",rents!AC36=1,"Market Rate"))</f>
        <v>#N/A</v>
      </c>
      <c r="AU32" s="443" t="e">
        <f t="shared" si="40"/>
        <v>#N/A</v>
      </c>
      <c r="AV32" s="444">
        <f>rents!U36</f>
        <v>0</v>
      </c>
      <c r="AW32" s="445">
        <f>rents!T36</f>
        <v>0</v>
      </c>
      <c r="AX32" s="446">
        <f t="shared" si="11"/>
        <v>0</v>
      </c>
      <c r="AY32" s="446">
        <f t="shared" si="12"/>
        <v>0</v>
      </c>
      <c r="AZ32" s="436">
        <v>21</v>
      </c>
      <c r="BA32" s="447">
        <f t="shared" si="13"/>
        <v>1</v>
      </c>
      <c r="BB32" s="436">
        <v>21</v>
      </c>
      <c r="BC32" s="448">
        <f t="shared" si="14"/>
        <v>1</v>
      </c>
    </row>
    <row r="33" spans="11:55" ht="14.25" customHeight="1">
      <c r="K33" s="434" t="str">
        <f t="shared" si="25"/>
        <v/>
      </c>
      <c r="S33" s="435"/>
      <c r="T33" s="436">
        <f t="shared" si="33"/>
        <v>32</v>
      </c>
      <c r="U33" s="437" t="e">
        <f t="shared" si="0"/>
        <v>#N/A</v>
      </c>
      <c r="V33" s="438">
        <f t="shared" si="1"/>
        <v>0</v>
      </c>
      <c r="W33" s="438">
        <v>1</v>
      </c>
      <c r="X33" s="439" t="e">
        <f t="shared" si="34"/>
        <v>#N/A</v>
      </c>
      <c r="Y33" s="440" t="e">
        <f t="shared" si="2"/>
        <v>#N/A</v>
      </c>
      <c r="Z33" s="441" t="e">
        <f t="shared" si="3"/>
        <v>#N/A</v>
      </c>
      <c r="AA33" s="442" t="str">
        <f t="shared" si="35"/>
        <v/>
      </c>
      <c r="AB33" s="443" t="str">
        <f t="shared" si="36"/>
        <v/>
      </c>
      <c r="AC33" s="444" t="e">
        <f t="shared" si="4"/>
        <v>#N/A</v>
      </c>
      <c r="AD33" s="445" t="e">
        <f t="shared" si="5"/>
        <v>#N/A</v>
      </c>
      <c r="AE33" s="446" t="e">
        <f t="shared" si="6"/>
        <v>#N/A</v>
      </c>
      <c r="AF33" s="446" t="e">
        <f t="shared" si="7"/>
        <v>#N/A</v>
      </c>
      <c r="AG33" s="436">
        <v>0</v>
      </c>
      <c r="AH33" s="447">
        <f t="shared" si="8"/>
        <v>0</v>
      </c>
      <c r="AI33" s="436">
        <v>0</v>
      </c>
      <c r="AJ33" s="448">
        <f t="shared" si="9"/>
        <v>0</v>
      </c>
      <c r="AL33" s="435" t="str">
        <f t="shared" si="37"/>
        <v/>
      </c>
      <c r="AM33" s="436">
        <f t="shared" si="38"/>
        <v>32</v>
      </c>
      <c r="AN33" s="437">
        <f>rents!Q37</f>
        <v>0</v>
      </c>
      <c r="AO33" s="438">
        <v>1</v>
      </c>
      <c r="AP33" s="438">
        <v>1</v>
      </c>
      <c r="AQ33" s="439">
        <f t="shared" si="39"/>
        <v>1</v>
      </c>
      <c r="AR33" s="440">
        <f>rents!R37</f>
        <v>0</v>
      </c>
      <c r="AS33" s="441">
        <f t="shared" si="10"/>
        <v>0</v>
      </c>
      <c r="AT33" s="442" t="e" cm="1">
        <f t="array" ref="AT33">CONCATENATE(_xlfn.IFS(rents!C37=1,"HTF",rents!D37=1,"HOME",rents!E37=1,"Lead Paint",rents!F37=1,"Project Based Assistance",rents!G37=1,"Tax Credit",rents!H37=1,"VHCB",rents!I37=1,"ADA Mobility",rents!J37=1,"ADA A/V",rents!K37=1, "Adaptable",rents!L37=1,"General",rents!M37=1,"Age Restricted",rents!N37=1,rents!$N$4,rents!O37=1,rents!$O$4,rents!P37=1,"Unrestricted"), ", ",
_xlfn.IFS(rents!V37=1,"30% AMI",rents!W37=1,"40% AMI",rents!X37=1,"50% AMI",rents!Y37=1,"60% AMI",rents!Z37=1,"70% AMI",rents!AA37=1,"80% AMI",rents!AB37=1,"100% AMI",rents!AC37=1,"Market Rate"))</f>
        <v>#N/A</v>
      </c>
      <c r="AU33" s="443" t="e">
        <f t="shared" si="40"/>
        <v>#N/A</v>
      </c>
      <c r="AV33" s="444">
        <f>rents!U37</f>
        <v>0</v>
      </c>
      <c r="AW33" s="445">
        <f>rents!T37</f>
        <v>0</v>
      </c>
      <c r="AX33" s="446">
        <f t="shared" si="11"/>
        <v>0</v>
      </c>
      <c r="AY33" s="446">
        <f t="shared" si="12"/>
        <v>0</v>
      </c>
      <c r="AZ33" s="436">
        <v>22</v>
      </c>
      <c r="BA33" s="447">
        <f t="shared" si="13"/>
        <v>1</v>
      </c>
      <c r="BB33" s="436">
        <v>22</v>
      </c>
      <c r="BC33" s="448">
        <f t="shared" si="14"/>
        <v>1</v>
      </c>
    </row>
    <row r="34" spans="11:55" ht="14.25" customHeight="1">
      <c r="K34" s="434" t="str">
        <f t="shared" si="25"/>
        <v/>
      </c>
      <c r="S34" s="435"/>
      <c r="T34" s="436">
        <f t="shared" si="33"/>
        <v>33</v>
      </c>
      <c r="U34" s="437" t="e">
        <f t="shared" ref="U34:U65" si="41">VLOOKUP(S34,$AL$1:$BC$96,3,FALSE)</f>
        <v>#N/A</v>
      </c>
      <c r="V34" s="438">
        <f t="shared" ref="V34:V65" si="42">IF(S34="",0,SUMIFS($AO$2:$AO$96,$AL$2:$AL$96,S34))</f>
        <v>0</v>
      </c>
      <c r="W34" s="438">
        <v>1</v>
      </c>
      <c r="X34" s="439" t="e">
        <f t="shared" si="34"/>
        <v>#N/A</v>
      </c>
      <c r="Y34" s="440" t="e">
        <f t="shared" ref="Y34:Y65" si="43">VLOOKUP(S34,$AL$1:$BC$96,7,FALSE)</f>
        <v>#N/A</v>
      </c>
      <c r="Z34" s="441" t="e">
        <f t="shared" si="3"/>
        <v>#N/A</v>
      </c>
      <c r="AA34" s="442" t="str">
        <f t="shared" si="35"/>
        <v/>
      </c>
      <c r="AB34" s="443" t="str">
        <f t="shared" si="36"/>
        <v/>
      </c>
      <c r="AC34" s="444" t="e">
        <f t="shared" ref="AC34:AC65" si="44">VLOOKUP(S34,$AL$1:$BC$96,11,FALSE)</f>
        <v>#N/A</v>
      </c>
      <c r="AD34" s="445" t="e">
        <f t="shared" ref="AD34:AD65" si="45">VLOOKUP(S34,$AL$1:$BC$96,12,FALSE)</f>
        <v>#N/A</v>
      </c>
      <c r="AE34" s="446" t="e">
        <f t="shared" si="6"/>
        <v>#N/A</v>
      </c>
      <c r="AF34" s="446" t="e">
        <f t="shared" si="7"/>
        <v>#N/A</v>
      </c>
      <c r="AG34" s="436">
        <v>0</v>
      </c>
      <c r="AH34" s="447">
        <f t="shared" si="8"/>
        <v>0</v>
      </c>
      <c r="AI34" s="436">
        <v>0</v>
      </c>
      <c r="AJ34" s="448">
        <f t="shared" si="9"/>
        <v>0</v>
      </c>
      <c r="AL34" s="435" t="str">
        <f t="shared" si="37"/>
        <v/>
      </c>
      <c r="AM34" s="436">
        <f t="shared" si="38"/>
        <v>33</v>
      </c>
      <c r="AN34" s="437">
        <f>rents!Q38</f>
        <v>0</v>
      </c>
      <c r="AO34" s="438">
        <v>1</v>
      </c>
      <c r="AP34" s="438">
        <v>1</v>
      </c>
      <c r="AQ34" s="439">
        <f t="shared" si="39"/>
        <v>1</v>
      </c>
      <c r="AR34" s="440">
        <f>rents!R38</f>
        <v>0</v>
      </c>
      <c r="AS34" s="441">
        <f t="shared" si="10"/>
        <v>0</v>
      </c>
      <c r="AT34" s="442" t="e" cm="1">
        <f t="array" ref="AT34">CONCATENATE(_xlfn.IFS(rents!C38=1,"HTF",rents!D38=1,"HOME",rents!E38=1,"Lead Paint",rents!F38=1,"Project Based Assistance",rents!G38=1,"Tax Credit",rents!H38=1,"VHCB",rents!I38=1,"ADA Mobility",rents!J38=1,"ADA A/V",rents!K38=1, "Adaptable",rents!L38=1,"General",rents!M38=1,"Age Restricted",rents!N38=1,rents!$N$4,rents!O38=1,rents!$O$4,rents!P38=1,"Unrestricted"), ", ",
_xlfn.IFS(rents!V38=1,"30% AMI",rents!W38=1,"40% AMI",rents!X38=1,"50% AMI",rents!Y38=1,"60% AMI",rents!Z38=1,"70% AMI",rents!AA38=1,"80% AMI",rents!AB38=1,"100% AMI",rents!AC38=1,"Market Rate"))</f>
        <v>#N/A</v>
      </c>
      <c r="AU34" s="443" t="e">
        <f t="shared" si="40"/>
        <v>#N/A</v>
      </c>
      <c r="AV34" s="444">
        <f>rents!U38</f>
        <v>0</v>
      </c>
      <c r="AW34" s="445">
        <f>rents!T38</f>
        <v>0</v>
      </c>
      <c r="AX34" s="446">
        <f t="shared" si="11"/>
        <v>0</v>
      </c>
      <c r="AY34" s="446">
        <f t="shared" si="12"/>
        <v>0</v>
      </c>
      <c r="AZ34" s="436">
        <v>23</v>
      </c>
      <c r="BA34" s="447">
        <f t="shared" si="13"/>
        <v>1</v>
      </c>
      <c r="BB34" s="436">
        <v>23</v>
      </c>
      <c r="BC34" s="448">
        <f t="shared" si="14"/>
        <v>1</v>
      </c>
    </row>
    <row r="35" spans="11:55" ht="14.25" customHeight="1">
      <c r="K35" s="434" t="str">
        <f t="shared" si="25"/>
        <v/>
      </c>
      <c r="S35" s="435"/>
      <c r="T35" s="436">
        <f t="shared" si="33"/>
        <v>34</v>
      </c>
      <c r="U35" s="437" t="e">
        <f t="shared" si="41"/>
        <v>#N/A</v>
      </c>
      <c r="V35" s="438">
        <f t="shared" si="42"/>
        <v>0</v>
      </c>
      <c r="W35" s="438">
        <v>1</v>
      </c>
      <c r="X35" s="439" t="e">
        <f t="shared" si="34"/>
        <v>#N/A</v>
      </c>
      <c r="Y35" s="440" t="e">
        <f t="shared" si="43"/>
        <v>#N/A</v>
      </c>
      <c r="Z35" s="441" t="e">
        <f t="shared" si="3"/>
        <v>#N/A</v>
      </c>
      <c r="AA35" s="442" t="str">
        <f t="shared" si="35"/>
        <v/>
      </c>
      <c r="AB35" s="443" t="str">
        <f t="shared" si="36"/>
        <v/>
      </c>
      <c r="AC35" s="444" t="e">
        <f t="shared" si="44"/>
        <v>#N/A</v>
      </c>
      <c r="AD35" s="445" t="e">
        <f t="shared" si="45"/>
        <v>#N/A</v>
      </c>
      <c r="AE35" s="446" t="e">
        <f t="shared" si="6"/>
        <v>#N/A</v>
      </c>
      <c r="AF35" s="446" t="e">
        <f t="shared" si="7"/>
        <v>#N/A</v>
      </c>
      <c r="AG35" s="436">
        <v>0</v>
      </c>
      <c r="AH35" s="447">
        <f t="shared" si="8"/>
        <v>0</v>
      </c>
      <c r="AI35" s="436">
        <v>0</v>
      </c>
      <c r="AJ35" s="448">
        <f t="shared" si="9"/>
        <v>0</v>
      </c>
      <c r="AL35" s="435" t="str">
        <f t="shared" si="37"/>
        <v/>
      </c>
      <c r="AM35" s="436">
        <f t="shared" si="38"/>
        <v>34</v>
      </c>
      <c r="AN35" s="437">
        <f>rents!Q39</f>
        <v>0</v>
      </c>
      <c r="AO35" s="438">
        <v>1</v>
      </c>
      <c r="AP35" s="438">
        <v>1</v>
      </c>
      <c r="AQ35" s="439">
        <f t="shared" si="39"/>
        <v>1</v>
      </c>
      <c r="AR35" s="440">
        <f>rents!R39</f>
        <v>0</v>
      </c>
      <c r="AS35" s="441">
        <f t="shared" si="10"/>
        <v>0</v>
      </c>
      <c r="AT35" s="442" t="e" cm="1">
        <f t="array" ref="AT35">CONCATENATE(_xlfn.IFS(rents!C39=1,"HTF",rents!D39=1,"HOME",rents!E39=1,"Lead Paint",rents!F39=1,"Project Based Assistance",rents!G39=1,"Tax Credit",rents!H39=1,"VHCB",rents!I39=1,"ADA Mobility",rents!J39=1,"ADA A/V",rents!K39=1, "Adaptable",rents!L39=1,"General",rents!M39=1,"Age Restricted",rents!N39=1,rents!$N$4,rents!O39=1,rents!$O$4,rents!P39=1,"Unrestricted"), ", ",
_xlfn.IFS(rents!V39=1,"30% AMI",rents!W39=1,"40% AMI",rents!X39=1,"50% AMI",rents!Y39=1,"60% AMI",rents!Z39=1,"70% AMI",rents!AA39=1,"80% AMI",rents!AB39=1,"100% AMI",rents!AC39=1,"Market Rate"))</f>
        <v>#N/A</v>
      </c>
      <c r="AU35" s="443" t="e">
        <f t="shared" si="40"/>
        <v>#N/A</v>
      </c>
      <c r="AV35" s="444">
        <f>rents!U39</f>
        <v>0</v>
      </c>
      <c r="AW35" s="445">
        <f>rents!T39</f>
        <v>0</v>
      </c>
      <c r="AX35" s="446">
        <f t="shared" si="11"/>
        <v>0</v>
      </c>
      <c r="AY35" s="446">
        <f t="shared" si="12"/>
        <v>0</v>
      </c>
      <c r="AZ35" s="436">
        <v>24</v>
      </c>
      <c r="BA35" s="447">
        <f t="shared" si="13"/>
        <v>1</v>
      </c>
      <c r="BB35" s="436">
        <v>24</v>
      </c>
      <c r="BC35" s="448">
        <f t="shared" si="14"/>
        <v>1</v>
      </c>
    </row>
    <row r="36" spans="11:55" ht="14.25" customHeight="1">
      <c r="K36" s="434" t="str">
        <f t="shared" si="25"/>
        <v/>
      </c>
      <c r="S36" s="435"/>
      <c r="T36" s="436">
        <f t="shared" si="33"/>
        <v>35</v>
      </c>
      <c r="U36" s="437" t="e">
        <f t="shared" si="41"/>
        <v>#N/A</v>
      </c>
      <c r="V36" s="438">
        <f t="shared" si="42"/>
        <v>0</v>
      </c>
      <c r="W36" s="438">
        <v>1</v>
      </c>
      <c r="X36" s="439" t="e">
        <f t="shared" si="34"/>
        <v>#N/A</v>
      </c>
      <c r="Y36" s="440" t="e">
        <f t="shared" si="43"/>
        <v>#N/A</v>
      </c>
      <c r="Z36" s="441" t="e">
        <f t="shared" si="3"/>
        <v>#N/A</v>
      </c>
      <c r="AA36" s="442" t="str">
        <f t="shared" si="35"/>
        <v/>
      </c>
      <c r="AB36" s="443" t="str">
        <f t="shared" si="36"/>
        <v/>
      </c>
      <c r="AC36" s="444" t="e">
        <f t="shared" si="44"/>
        <v>#N/A</v>
      </c>
      <c r="AD36" s="445" t="e">
        <f t="shared" si="45"/>
        <v>#N/A</v>
      </c>
      <c r="AE36" s="446" t="e">
        <f t="shared" si="6"/>
        <v>#N/A</v>
      </c>
      <c r="AF36" s="446" t="e">
        <f t="shared" si="7"/>
        <v>#N/A</v>
      </c>
      <c r="AG36" s="436">
        <v>0</v>
      </c>
      <c r="AH36" s="447">
        <f t="shared" si="8"/>
        <v>0</v>
      </c>
      <c r="AI36" s="436">
        <v>0</v>
      </c>
      <c r="AJ36" s="448">
        <f t="shared" si="9"/>
        <v>0</v>
      </c>
      <c r="AL36" s="435" t="str">
        <f t="shared" si="37"/>
        <v/>
      </c>
      <c r="AM36" s="436">
        <f t="shared" si="38"/>
        <v>35</v>
      </c>
      <c r="AN36" s="437">
        <f>rents!Q40</f>
        <v>0</v>
      </c>
      <c r="AO36" s="438">
        <v>1</v>
      </c>
      <c r="AP36" s="438">
        <v>1</v>
      </c>
      <c r="AQ36" s="439">
        <f t="shared" si="39"/>
        <v>1</v>
      </c>
      <c r="AR36" s="440">
        <f>rents!R40</f>
        <v>0</v>
      </c>
      <c r="AS36" s="441">
        <f t="shared" si="10"/>
        <v>0</v>
      </c>
      <c r="AT36" s="442" t="e" cm="1">
        <f t="array" ref="AT36">CONCATENATE(_xlfn.IFS(rents!C40=1,"HTF",rents!D40=1,"HOME",rents!E40=1,"Lead Paint",rents!F40=1,"Project Based Assistance",rents!G40=1,"Tax Credit",rents!H40=1,"VHCB",rents!I40=1,"ADA Mobility",rents!J40=1,"ADA A/V",rents!K40=1, "Adaptable",rents!L40=1,"General",rents!M40=1,"Age Restricted",rents!N40=1,rents!$N$4,rents!O40=1,rents!$O$4,rents!P40=1,"Unrestricted"), ", ",
_xlfn.IFS(rents!V40=1,"30% AMI",rents!W40=1,"40% AMI",rents!X40=1,"50% AMI",rents!Y40=1,"60% AMI",rents!Z40=1,"70% AMI",rents!AA40=1,"80% AMI",rents!AB40=1,"100% AMI",rents!AC40=1,"Market Rate"))</f>
        <v>#N/A</v>
      </c>
      <c r="AU36" s="443" t="e">
        <f t="shared" si="40"/>
        <v>#N/A</v>
      </c>
      <c r="AV36" s="444">
        <f>rents!U40</f>
        <v>0</v>
      </c>
      <c r="AW36" s="445">
        <f>rents!T40</f>
        <v>0</v>
      </c>
      <c r="AX36" s="446">
        <f t="shared" si="11"/>
        <v>0</v>
      </c>
      <c r="AY36" s="446">
        <f t="shared" si="12"/>
        <v>0</v>
      </c>
      <c r="AZ36" s="436">
        <v>25</v>
      </c>
      <c r="BA36" s="447">
        <f t="shared" si="13"/>
        <v>1</v>
      </c>
      <c r="BB36" s="436">
        <v>25</v>
      </c>
      <c r="BC36" s="448">
        <f t="shared" si="14"/>
        <v>1</v>
      </c>
    </row>
    <row r="37" spans="11:55" ht="14.25" customHeight="1">
      <c r="K37" s="434" t="str">
        <f t="shared" si="25"/>
        <v/>
      </c>
      <c r="S37" s="435"/>
      <c r="T37" s="436">
        <f t="shared" si="33"/>
        <v>36</v>
      </c>
      <c r="U37" s="437" t="e">
        <f t="shared" si="41"/>
        <v>#N/A</v>
      </c>
      <c r="V37" s="438">
        <f t="shared" si="42"/>
        <v>0</v>
      </c>
      <c r="W37" s="438">
        <v>1</v>
      </c>
      <c r="X37" s="439" t="e">
        <f t="shared" si="34"/>
        <v>#N/A</v>
      </c>
      <c r="Y37" s="440" t="e">
        <f t="shared" si="43"/>
        <v>#N/A</v>
      </c>
      <c r="Z37" s="441" t="e">
        <f t="shared" si="3"/>
        <v>#N/A</v>
      </c>
      <c r="AA37" s="442" t="str">
        <f t="shared" si="35"/>
        <v/>
      </c>
      <c r="AB37" s="443" t="str">
        <f t="shared" si="36"/>
        <v/>
      </c>
      <c r="AC37" s="444" t="e">
        <f t="shared" si="44"/>
        <v>#N/A</v>
      </c>
      <c r="AD37" s="445" t="e">
        <f t="shared" si="45"/>
        <v>#N/A</v>
      </c>
      <c r="AE37" s="446" t="e">
        <f t="shared" si="6"/>
        <v>#N/A</v>
      </c>
      <c r="AF37" s="446" t="e">
        <f t="shared" si="7"/>
        <v>#N/A</v>
      </c>
      <c r="AG37" s="436">
        <v>0</v>
      </c>
      <c r="AH37" s="447">
        <f t="shared" si="8"/>
        <v>0</v>
      </c>
      <c r="AI37" s="436">
        <v>0</v>
      </c>
      <c r="AJ37" s="448">
        <f t="shared" si="9"/>
        <v>0</v>
      </c>
      <c r="AL37" s="435" t="str">
        <f t="shared" si="37"/>
        <v/>
      </c>
      <c r="AM37" s="436">
        <f t="shared" si="38"/>
        <v>36</v>
      </c>
      <c r="AN37" s="437">
        <f>rents!Q41</f>
        <v>0</v>
      </c>
      <c r="AO37" s="438">
        <v>1</v>
      </c>
      <c r="AP37" s="438">
        <v>1</v>
      </c>
      <c r="AQ37" s="439">
        <f t="shared" si="39"/>
        <v>1</v>
      </c>
      <c r="AR37" s="440">
        <f>rents!R41</f>
        <v>0</v>
      </c>
      <c r="AS37" s="441">
        <f t="shared" si="10"/>
        <v>0</v>
      </c>
      <c r="AT37" s="442" t="e" cm="1">
        <f t="array" ref="AT37">CONCATENATE(_xlfn.IFS(rents!C41=1,"HTF",rents!D41=1,"HOME",rents!E41=1,"Lead Paint",rents!F41=1,"Project Based Assistance",rents!G41=1,"Tax Credit",rents!H41=1,"VHCB",rents!I41=1,"ADA Mobility",rents!J41=1,"ADA A/V",rents!K41=1, "Adaptable",rents!L41=1,"General",rents!M41=1,"Age Restricted",rents!N41=1,rents!$N$4,rents!O41=1,rents!$O$4,rents!P41=1,"Unrestricted"), ", ",
_xlfn.IFS(rents!V41=1,"30% AMI",rents!W41=1,"40% AMI",rents!X41=1,"50% AMI",rents!Y41=1,"60% AMI",rents!Z41=1,"70% AMI",rents!AA41=1,"80% AMI",rents!AB41=1,"100% AMI",rents!AC41=1,"Market Rate"))</f>
        <v>#N/A</v>
      </c>
      <c r="AU37" s="443" t="e">
        <f t="shared" si="40"/>
        <v>#N/A</v>
      </c>
      <c r="AV37" s="444">
        <f>rents!U41</f>
        <v>0</v>
      </c>
      <c r="AW37" s="445">
        <f>rents!T41</f>
        <v>0</v>
      </c>
      <c r="AX37" s="446">
        <f t="shared" si="11"/>
        <v>0</v>
      </c>
      <c r="AY37" s="446">
        <f t="shared" si="12"/>
        <v>0</v>
      </c>
      <c r="AZ37" s="436">
        <v>26</v>
      </c>
      <c r="BA37" s="447">
        <f t="shared" si="13"/>
        <v>1</v>
      </c>
      <c r="BB37" s="436">
        <v>26</v>
      </c>
      <c r="BC37" s="448">
        <f t="shared" si="14"/>
        <v>1</v>
      </c>
    </row>
    <row r="38" spans="11:55" ht="14.25" customHeight="1">
      <c r="K38" s="434" t="str">
        <f t="shared" si="25"/>
        <v/>
      </c>
      <c r="S38" s="435"/>
      <c r="T38" s="436">
        <f t="shared" si="33"/>
        <v>37</v>
      </c>
      <c r="U38" s="437" t="e">
        <f t="shared" si="41"/>
        <v>#N/A</v>
      </c>
      <c r="V38" s="438">
        <f t="shared" si="42"/>
        <v>0</v>
      </c>
      <c r="W38" s="438">
        <v>1</v>
      </c>
      <c r="X38" s="439" t="e">
        <f t="shared" si="34"/>
        <v>#N/A</v>
      </c>
      <c r="Y38" s="440" t="e">
        <f t="shared" si="43"/>
        <v>#N/A</v>
      </c>
      <c r="Z38" s="441" t="e">
        <f t="shared" si="3"/>
        <v>#N/A</v>
      </c>
      <c r="AA38" s="442" t="str">
        <f t="shared" si="35"/>
        <v/>
      </c>
      <c r="AB38" s="443" t="str">
        <f t="shared" si="36"/>
        <v/>
      </c>
      <c r="AC38" s="444" t="e">
        <f t="shared" si="44"/>
        <v>#N/A</v>
      </c>
      <c r="AD38" s="445" t="e">
        <f t="shared" si="45"/>
        <v>#N/A</v>
      </c>
      <c r="AE38" s="446" t="e">
        <f t="shared" si="6"/>
        <v>#N/A</v>
      </c>
      <c r="AF38" s="446" t="e">
        <f t="shared" si="7"/>
        <v>#N/A</v>
      </c>
      <c r="AG38" s="436">
        <v>0</v>
      </c>
      <c r="AH38" s="447">
        <f t="shared" si="8"/>
        <v>0</v>
      </c>
      <c r="AI38" s="436">
        <v>0</v>
      </c>
      <c r="AJ38" s="448">
        <f t="shared" si="9"/>
        <v>0</v>
      </c>
      <c r="AL38" s="435" t="str">
        <f t="shared" si="37"/>
        <v/>
      </c>
      <c r="AM38" s="436">
        <f t="shared" si="38"/>
        <v>37</v>
      </c>
      <c r="AN38" s="437">
        <f>rents!Q42</f>
        <v>0</v>
      </c>
      <c r="AO38" s="438">
        <v>1</v>
      </c>
      <c r="AP38" s="438">
        <v>1</v>
      </c>
      <c r="AQ38" s="439">
        <f t="shared" si="39"/>
        <v>1</v>
      </c>
      <c r="AR38" s="440">
        <f>rents!R42</f>
        <v>0</v>
      </c>
      <c r="AS38" s="441">
        <f t="shared" si="10"/>
        <v>0</v>
      </c>
      <c r="AT38" s="442" t="e" cm="1">
        <f t="array" ref="AT38">CONCATENATE(_xlfn.IFS(rents!C42=1,"HTF",rents!D42=1,"HOME",rents!E42=1,"Lead Paint",rents!F42=1,"Project Based Assistance",rents!G42=1,"Tax Credit",rents!H42=1,"VHCB",rents!I42=1,"ADA Mobility",rents!J42=1,"ADA A/V",rents!K42=1, "Adaptable",rents!L42=1,"General",rents!M42=1,"Age Restricted",rents!N42=1,rents!$N$4,rents!O42=1,rents!$O$4,rents!P42=1,"Unrestricted"), ", ",
_xlfn.IFS(rents!V42=1,"30% AMI",rents!W42=1,"40% AMI",rents!X42=1,"50% AMI",rents!Y42=1,"60% AMI",rents!Z42=1,"70% AMI",rents!AA42=1,"80% AMI",rents!AB42=1,"100% AMI",rents!AC42=1,"Market Rate"))</f>
        <v>#N/A</v>
      </c>
      <c r="AU38" s="443" t="e">
        <f t="shared" si="40"/>
        <v>#N/A</v>
      </c>
      <c r="AV38" s="444">
        <f>rents!U42</f>
        <v>0</v>
      </c>
      <c r="AW38" s="445">
        <f>rents!T42</f>
        <v>0</v>
      </c>
      <c r="AX38" s="446">
        <f t="shared" si="11"/>
        <v>0</v>
      </c>
      <c r="AY38" s="446">
        <f t="shared" si="12"/>
        <v>0</v>
      </c>
      <c r="AZ38" s="436">
        <v>27</v>
      </c>
      <c r="BA38" s="447">
        <f t="shared" si="13"/>
        <v>1</v>
      </c>
      <c r="BB38" s="436">
        <v>27</v>
      </c>
      <c r="BC38" s="448">
        <f t="shared" si="14"/>
        <v>1</v>
      </c>
    </row>
    <row r="39" spans="11:55" ht="14.25" customHeight="1">
      <c r="K39" s="434" t="str">
        <f t="shared" si="25"/>
        <v/>
      </c>
      <c r="S39" s="435"/>
      <c r="T39" s="436">
        <f t="shared" si="33"/>
        <v>38</v>
      </c>
      <c r="U39" s="437" t="e">
        <f t="shared" si="41"/>
        <v>#N/A</v>
      </c>
      <c r="V39" s="438">
        <f t="shared" si="42"/>
        <v>0</v>
      </c>
      <c r="W39" s="438">
        <v>1</v>
      </c>
      <c r="X39" s="439" t="e">
        <f t="shared" si="34"/>
        <v>#N/A</v>
      </c>
      <c r="Y39" s="440" t="e">
        <f t="shared" si="43"/>
        <v>#N/A</v>
      </c>
      <c r="Z39" s="441" t="e">
        <f t="shared" si="3"/>
        <v>#N/A</v>
      </c>
      <c r="AA39" s="442" t="str">
        <f t="shared" si="35"/>
        <v/>
      </c>
      <c r="AB39" s="443" t="str">
        <f t="shared" si="36"/>
        <v/>
      </c>
      <c r="AC39" s="444" t="e">
        <f t="shared" si="44"/>
        <v>#N/A</v>
      </c>
      <c r="AD39" s="445" t="e">
        <f t="shared" si="45"/>
        <v>#N/A</v>
      </c>
      <c r="AE39" s="446" t="e">
        <f t="shared" si="6"/>
        <v>#N/A</v>
      </c>
      <c r="AF39" s="446" t="e">
        <f t="shared" si="7"/>
        <v>#N/A</v>
      </c>
      <c r="AG39" s="436">
        <v>0</v>
      </c>
      <c r="AH39" s="447">
        <f t="shared" si="8"/>
        <v>0</v>
      </c>
      <c r="AI39" s="436">
        <v>0</v>
      </c>
      <c r="AJ39" s="448">
        <f t="shared" si="9"/>
        <v>0</v>
      </c>
      <c r="AL39" s="435" t="str">
        <f t="shared" si="37"/>
        <v/>
      </c>
      <c r="AM39" s="436">
        <f t="shared" si="38"/>
        <v>38</v>
      </c>
      <c r="AN39" s="437">
        <f>rents!Q43</f>
        <v>0</v>
      </c>
      <c r="AO39" s="438">
        <v>1</v>
      </c>
      <c r="AP39" s="438">
        <v>1</v>
      </c>
      <c r="AQ39" s="439">
        <f t="shared" si="39"/>
        <v>1</v>
      </c>
      <c r="AR39" s="440">
        <f>rents!R43</f>
        <v>0</v>
      </c>
      <c r="AS39" s="441">
        <f t="shared" si="10"/>
        <v>0</v>
      </c>
      <c r="AT39" s="442" t="e" cm="1">
        <f t="array" ref="AT39">CONCATENATE(_xlfn.IFS(rents!C43=1,"HTF",rents!D43=1,"HOME",rents!E43=1,"Lead Paint",rents!F43=1,"Project Based Assistance",rents!G43=1,"Tax Credit",rents!H43=1,"VHCB",rents!I43=1,"ADA Mobility",rents!J43=1,"ADA A/V",rents!K43=1, "Adaptable",rents!L43=1,"General",rents!M43=1,"Age Restricted",rents!N43=1,rents!$N$4,rents!O43=1,rents!$O$4,rents!P43=1,"Unrestricted"), ", ",
_xlfn.IFS(rents!V43=1,"30% AMI",rents!W43=1,"40% AMI",rents!X43=1,"50% AMI",rents!Y43=1,"60% AMI",rents!Z43=1,"70% AMI",rents!AA43=1,"80% AMI",rents!AB43=1,"100% AMI",rents!AC43=1,"Market Rate"))</f>
        <v>#N/A</v>
      </c>
      <c r="AU39" s="443" t="e">
        <f t="shared" si="40"/>
        <v>#N/A</v>
      </c>
      <c r="AV39" s="444">
        <f>rents!U43</f>
        <v>0</v>
      </c>
      <c r="AW39" s="445">
        <f>rents!T43</f>
        <v>0</v>
      </c>
      <c r="AX39" s="446">
        <f t="shared" si="11"/>
        <v>0</v>
      </c>
      <c r="AY39" s="446">
        <f t="shared" si="12"/>
        <v>0</v>
      </c>
      <c r="AZ39" s="436">
        <v>28</v>
      </c>
      <c r="BA39" s="447">
        <f t="shared" si="13"/>
        <v>1</v>
      </c>
      <c r="BB39" s="436">
        <v>28</v>
      </c>
      <c r="BC39" s="448">
        <f t="shared" si="14"/>
        <v>1</v>
      </c>
    </row>
    <row r="40" spans="11:55" ht="14.25" customHeight="1">
      <c r="K40" s="434" t="str">
        <f t="shared" si="25"/>
        <v/>
      </c>
      <c r="S40" s="435"/>
      <c r="T40" s="436">
        <f t="shared" si="33"/>
        <v>39</v>
      </c>
      <c r="U40" s="437" t="e">
        <f t="shared" si="41"/>
        <v>#N/A</v>
      </c>
      <c r="V40" s="438">
        <f t="shared" si="42"/>
        <v>0</v>
      </c>
      <c r="W40" s="438">
        <v>1</v>
      </c>
      <c r="X40" s="439" t="e">
        <f t="shared" si="34"/>
        <v>#N/A</v>
      </c>
      <c r="Y40" s="440" t="e">
        <f t="shared" si="43"/>
        <v>#N/A</v>
      </c>
      <c r="Z40" s="441" t="e">
        <f t="shared" si="3"/>
        <v>#N/A</v>
      </c>
      <c r="AA40" s="442" t="str">
        <f t="shared" si="35"/>
        <v/>
      </c>
      <c r="AB40" s="443" t="str">
        <f t="shared" si="36"/>
        <v/>
      </c>
      <c r="AC40" s="444" t="e">
        <f t="shared" si="44"/>
        <v>#N/A</v>
      </c>
      <c r="AD40" s="445" t="e">
        <f t="shared" si="45"/>
        <v>#N/A</v>
      </c>
      <c r="AE40" s="446" t="e">
        <f t="shared" si="6"/>
        <v>#N/A</v>
      </c>
      <c r="AF40" s="446" t="e">
        <f t="shared" si="7"/>
        <v>#N/A</v>
      </c>
      <c r="AG40" s="436">
        <v>0</v>
      </c>
      <c r="AH40" s="447">
        <f t="shared" si="8"/>
        <v>0</v>
      </c>
      <c r="AI40" s="436">
        <v>0</v>
      </c>
      <c r="AJ40" s="448">
        <f t="shared" si="9"/>
        <v>0</v>
      </c>
      <c r="AL40" s="435" t="str">
        <f t="shared" si="37"/>
        <v/>
      </c>
      <c r="AM40" s="436">
        <f t="shared" si="38"/>
        <v>39</v>
      </c>
      <c r="AN40" s="437">
        <f>rents!Q44</f>
        <v>0</v>
      </c>
      <c r="AO40" s="438">
        <v>1</v>
      </c>
      <c r="AP40" s="438">
        <v>1</v>
      </c>
      <c r="AQ40" s="439">
        <f t="shared" si="39"/>
        <v>1</v>
      </c>
      <c r="AR40" s="440">
        <f>rents!R44</f>
        <v>0</v>
      </c>
      <c r="AS40" s="441">
        <f t="shared" si="10"/>
        <v>0</v>
      </c>
      <c r="AT40" s="442" t="e" cm="1">
        <f t="array" ref="AT40">CONCATENATE(_xlfn.IFS(rents!C44=1,"HTF",rents!D44=1,"HOME",rents!E44=1,"Lead Paint",rents!F44=1,"Project Based Assistance",rents!G44=1,"Tax Credit",rents!H44=1,"VHCB",rents!I44=1,"ADA Mobility",rents!J44=1,"ADA A/V",rents!K44=1, "Adaptable",rents!L44=1,"General",rents!M44=1,"Age Restricted",rents!N44=1,rents!$N$4,rents!O44=1,rents!$O$4,rents!P44=1,"Unrestricted"), ", ",
_xlfn.IFS(rents!V44=1,"30% AMI",rents!W44=1,"40% AMI",rents!X44=1,"50% AMI",rents!Y44=1,"60% AMI",rents!Z44=1,"70% AMI",rents!AA44=1,"80% AMI",rents!AB44=1,"100% AMI",rents!AC44=1,"Market Rate"))</f>
        <v>#N/A</v>
      </c>
      <c r="AU40" s="443" t="e">
        <f t="shared" si="40"/>
        <v>#N/A</v>
      </c>
      <c r="AV40" s="444">
        <f>rents!U44</f>
        <v>0</v>
      </c>
      <c r="AW40" s="445">
        <f>rents!T44</f>
        <v>0</v>
      </c>
      <c r="AX40" s="446">
        <f t="shared" si="11"/>
        <v>0</v>
      </c>
      <c r="AY40" s="446">
        <f t="shared" si="12"/>
        <v>0</v>
      </c>
      <c r="AZ40" s="436">
        <v>29</v>
      </c>
      <c r="BA40" s="447">
        <f t="shared" si="13"/>
        <v>1</v>
      </c>
      <c r="BB40" s="436">
        <v>29</v>
      </c>
      <c r="BC40" s="448">
        <f t="shared" si="14"/>
        <v>1</v>
      </c>
    </row>
    <row r="41" spans="11:55" ht="14.25" customHeight="1">
      <c r="K41" s="434" t="str">
        <f t="shared" si="25"/>
        <v/>
      </c>
      <c r="S41" s="435"/>
      <c r="T41" s="436">
        <f t="shared" si="33"/>
        <v>40</v>
      </c>
      <c r="U41" s="437" t="e">
        <f t="shared" si="41"/>
        <v>#N/A</v>
      </c>
      <c r="V41" s="438">
        <f t="shared" si="42"/>
        <v>0</v>
      </c>
      <c r="W41" s="438">
        <v>1</v>
      </c>
      <c r="X41" s="439" t="e">
        <f t="shared" si="34"/>
        <v>#N/A</v>
      </c>
      <c r="Y41" s="440" t="e">
        <f t="shared" si="43"/>
        <v>#N/A</v>
      </c>
      <c r="Z41" s="441" t="e">
        <f t="shared" si="3"/>
        <v>#N/A</v>
      </c>
      <c r="AA41" s="442" t="str">
        <f t="shared" si="35"/>
        <v/>
      </c>
      <c r="AB41" s="443" t="str">
        <f t="shared" si="36"/>
        <v/>
      </c>
      <c r="AC41" s="444" t="e">
        <f t="shared" si="44"/>
        <v>#N/A</v>
      </c>
      <c r="AD41" s="445" t="e">
        <f t="shared" si="45"/>
        <v>#N/A</v>
      </c>
      <c r="AE41" s="446" t="e">
        <f t="shared" si="6"/>
        <v>#N/A</v>
      </c>
      <c r="AF41" s="446" t="e">
        <f t="shared" si="7"/>
        <v>#N/A</v>
      </c>
      <c r="AG41" s="436">
        <v>0</v>
      </c>
      <c r="AH41" s="447">
        <f t="shared" si="8"/>
        <v>0</v>
      </c>
      <c r="AI41" s="436">
        <v>0</v>
      </c>
      <c r="AJ41" s="448">
        <f t="shared" si="9"/>
        <v>0</v>
      </c>
      <c r="AL41" s="435" t="str">
        <f t="shared" si="37"/>
        <v/>
      </c>
      <c r="AM41" s="436">
        <f t="shared" si="38"/>
        <v>40</v>
      </c>
      <c r="AN41" s="437">
        <f>rents!Q45</f>
        <v>0</v>
      </c>
      <c r="AO41" s="438">
        <v>1</v>
      </c>
      <c r="AP41" s="438">
        <v>1</v>
      </c>
      <c r="AQ41" s="439">
        <f t="shared" si="39"/>
        <v>1</v>
      </c>
      <c r="AR41" s="440">
        <f>rents!R45</f>
        <v>0</v>
      </c>
      <c r="AS41" s="441">
        <f t="shared" si="10"/>
        <v>0</v>
      </c>
      <c r="AT41" s="442" t="e" cm="1">
        <f t="array" ref="AT41">CONCATENATE(_xlfn.IFS(rents!C45=1,"HTF",rents!D45=1,"HOME",rents!E45=1,"Lead Paint",rents!F45=1,"Project Based Assistance",rents!G45=1,"Tax Credit",rents!H45=1,"VHCB",rents!I45=1,"ADA Mobility",rents!J45=1,"ADA A/V",rents!K45=1, "Adaptable",rents!L45=1,"General",rents!M45=1,"Age Restricted",rents!N45=1,rents!$N$4,rents!O45=1,rents!$O$4,rents!P45=1,"Unrestricted"), ", ",
_xlfn.IFS(rents!V45=1,"30% AMI",rents!W45=1,"40% AMI",rents!X45=1,"50% AMI",rents!Y45=1,"60% AMI",rents!Z45=1,"70% AMI",rents!AA45=1,"80% AMI",rents!AB45=1,"100% AMI",rents!AC45=1,"Market Rate"))</f>
        <v>#N/A</v>
      </c>
      <c r="AU41" s="443" t="e">
        <f t="shared" si="40"/>
        <v>#N/A</v>
      </c>
      <c r="AV41" s="444">
        <f>rents!U45</f>
        <v>0</v>
      </c>
      <c r="AW41" s="445">
        <f>rents!T45</f>
        <v>0</v>
      </c>
      <c r="AX41" s="446">
        <f t="shared" si="11"/>
        <v>0</v>
      </c>
      <c r="AY41" s="446">
        <f t="shared" si="12"/>
        <v>0</v>
      </c>
      <c r="AZ41" s="436">
        <v>30</v>
      </c>
      <c r="BA41" s="447">
        <f t="shared" si="13"/>
        <v>1</v>
      </c>
      <c r="BB41" s="436">
        <v>30</v>
      </c>
      <c r="BC41" s="448">
        <f t="shared" si="14"/>
        <v>1</v>
      </c>
    </row>
    <row r="42" spans="11:55" ht="14.25" customHeight="1">
      <c r="K42" s="434" t="str">
        <f t="shared" si="25"/>
        <v/>
      </c>
      <c r="S42" s="435"/>
      <c r="T42" s="436">
        <f t="shared" si="33"/>
        <v>41</v>
      </c>
      <c r="U42" s="437" t="e">
        <f t="shared" si="41"/>
        <v>#N/A</v>
      </c>
      <c r="V42" s="438">
        <f t="shared" si="42"/>
        <v>0</v>
      </c>
      <c r="W42" s="438">
        <v>1</v>
      </c>
      <c r="X42" s="439" t="e">
        <f t="shared" si="34"/>
        <v>#N/A</v>
      </c>
      <c r="Y42" s="440" t="e">
        <f t="shared" si="43"/>
        <v>#N/A</v>
      </c>
      <c r="Z42" s="441" t="e">
        <f t="shared" si="3"/>
        <v>#N/A</v>
      </c>
      <c r="AA42" s="442" t="str">
        <f t="shared" si="35"/>
        <v/>
      </c>
      <c r="AB42" s="443" t="str">
        <f t="shared" si="36"/>
        <v/>
      </c>
      <c r="AC42" s="444" t="e">
        <f t="shared" si="44"/>
        <v>#N/A</v>
      </c>
      <c r="AD42" s="445" t="e">
        <f t="shared" si="45"/>
        <v>#N/A</v>
      </c>
      <c r="AE42" s="446" t="e">
        <f t="shared" si="6"/>
        <v>#N/A</v>
      </c>
      <c r="AF42" s="446" t="e">
        <f t="shared" si="7"/>
        <v>#N/A</v>
      </c>
      <c r="AG42" s="436">
        <v>0</v>
      </c>
      <c r="AH42" s="447">
        <f t="shared" si="8"/>
        <v>0</v>
      </c>
      <c r="AI42" s="436">
        <v>0</v>
      </c>
      <c r="AJ42" s="448">
        <f t="shared" si="9"/>
        <v>0</v>
      </c>
      <c r="AL42" s="435" t="str">
        <f t="shared" si="37"/>
        <v/>
      </c>
      <c r="AM42" s="436">
        <f t="shared" si="38"/>
        <v>41</v>
      </c>
      <c r="AN42" s="437">
        <f>rents!Q46</f>
        <v>0</v>
      </c>
      <c r="AO42" s="438">
        <v>1</v>
      </c>
      <c r="AP42" s="438">
        <v>1</v>
      </c>
      <c r="AQ42" s="439">
        <f t="shared" si="39"/>
        <v>1</v>
      </c>
      <c r="AR42" s="440">
        <f>rents!R46</f>
        <v>0</v>
      </c>
      <c r="AS42" s="441">
        <f t="shared" si="10"/>
        <v>0</v>
      </c>
      <c r="AT42" s="442" t="e" cm="1">
        <f t="array" ref="AT42">CONCATENATE(_xlfn.IFS(rents!C46=1,"HTF",rents!D46=1,"HOME",rents!E46=1,"Lead Paint",rents!F46=1,"Project Based Assistance",rents!G46=1,"Tax Credit",rents!H46=1,"VHCB",rents!I46=1,"ADA Mobility",rents!J46=1,"ADA A/V",rents!K46=1, "Adaptable",rents!L46=1,"General",rents!M46=1,"Age Restricted",rents!N46=1,rents!$N$4,rents!O46=1,rents!$O$4,rents!P46=1,"Unrestricted"), ", ",
_xlfn.IFS(rents!V46=1,"30% AMI",rents!W46=1,"40% AMI",rents!X46=1,"50% AMI",rents!Y46=1,"60% AMI",rents!Z46=1,"70% AMI",rents!AA46=1,"80% AMI",rents!AB46=1,"100% AMI",rents!AC46=1,"Market Rate"))</f>
        <v>#N/A</v>
      </c>
      <c r="AU42" s="443" t="e">
        <f t="shared" si="40"/>
        <v>#N/A</v>
      </c>
      <c r="AV42" s="444">
        <f>rents!U46</f>
        <v>0</v>
      </c>
      <c r="AW42" s="445">
        <f>rents!T46</f>
        <v>0</v>
      </c>
      <c r="AX42" s="446">
        <f t="shared" si="11"/>
        <v>0</v>
      </c>
      <c r="AY42" s="446">
        <f t="shared" si="12"/>
        <v>0</v>
      </c>
      <c r="AZ42" s="436">
        <v>31</v>
      </c>
      <c r="BA42" s="447">
        <f t="shared" si="13"/>
        <v>1</v>
      </c>
      <c r="BB42" s="436">
        <v>31</v>
      </c>
      <c r="BC42" s="448">
        <f t="shared" si="14"/>
        <v>1</v>
      </c>
    </row>
    <row r="43" spans="11:55" ht="14.25" customHeight="1">
      <c r="K43" s="434" t="str">
        <f t="shared" si="25"/>
        <v/>
      </c>
      <c r="S43" s="435"/>
      <c r="T43" s="436">
        <f t="shared" si="33"/>
        <v>42</v>
      </c>
      <c r="U43" s="437" t="e">
        <f t="shared" si="41"/>
        <v>#N/A</v>
      </c>
      <c r="V43" s="438">
        <f t="shared" si="42"/>
        <v>0</v>
      </c>
      <c r="W43" s="438">
        <v>1</v>
      </c>
      <c r="X43" s="439" t="e">
        <f t="shared" si="34"/>
        <v>#N/A</v>
      </c>
      <c r="Y43" s="440" t="e">
        <f t="shared" si="43"/>
        <v>#N/A</v>
      </c>
      <c r="Z43" s="441" t="e">
        <f t="shared" si="3"/>
        <v>#N/A</v>
      </c>
      <c r="AA43" s="442" t="str">
        <f t="shared" si="35"/>
        <v/>
      </c>
      <c r="AB43" s="443" t="str">
        <f t="shared" si="36"/>
        <v/>
      </c>
      <c r="AC43" s="444" t="e">
        <f t="shared" si="44"/>
        <v>#N/A</v>
      </c>
      <c r="AD43" s="445" t="e">
        <f t="shared" si="45"/>
        <v>#N/A</v>
      </c>
      <c r="AE43" s="446" t="e">
        <f t="shared" si="6"/>
        <v>#N/A</v>
      </c>
      <c r="AF43" s="446" t="e">
        <f t="shared" si="7"/>
        <v>#N/A</v>
      </c>
      <c r="AG43" s="436">
        <v>0</v>
      </c>
      <c r="AH43" s="447">
        <f t="shared" si="8"/>
        <v>0</v>
      </c>
      <c r="AI43" s="436">
        <v>0</v>
      </c>
      <c r="AJ43" s="448">
        <f t="shared" si="9"/>
        <v>0</v>
      </c>
      <c r="AL43" s="435" t="str">
        <f t="shared" si="37"/>
        <v/>
      </c>
      <c r="AM43" s="436">
        <f t="shared" si="38"/>
        <v>42</v>
      </c>
      <c r="AN43" s="437">
        <f>rents!Q47</f>
        <v>0</v>
      </c>
      <c r="AO43" s="438">
        <v>1</v>
      </c>
      <c r="AP43" s="438">
        <v>1</v>
      </c>
      <c r="AQ43" s="439">
        <f t="shared" si="39"/>
        <v>1</v>
      </c>
      <c r="AR43" s="440">
        <f>rents!R47</f>
        <v>0</v>
      </c>
      <c r="AS43" s="441">
        <f t="shared" si="10"/>
        <v>0</v>
      </c>
      <c r="AT43" s="442" t="e" cm="1">
        <f t="array" ref="AT43">CONCATENATE(_xlfn.IFS(rents!C47=1,"HTF",rents!D47=1,"HOME",rents!E47=1,"Lead Paint",rents!F47=1,"Project Based Assistance",rents!G47=1,"Tax Credit",rents!H47=1,"VHCB",rents!I47=1,"ADA Mobility",rents!J47=1,"ADA A/V",rents!K47=1, "Adaptable",rents!L47=1,"General",rents!M47=1,"Age Restricted",rents!N47=1,rents!$N$4,rents!O47=1,rents!$O$4,rents!P47=1,"Unrestricted"), ", ",
_xlfn.IFS(rents!V47=1,"30% AMI",rents!W47=1,"40% AMI",rents!X47=1,"50% AMI",rents!Y47=1,"60% AMI",rents!Z47=1,"70% AMI",rents!AA47=1,"80% AMI",rents!AB47=1,"100% AMI",rents!AC47=1,"Market Rate"))</f>
        <v>#N/A</v>
      </c>
      <c r="AU43" s="443" t="e">
        <f t="shared" si="40"/>
        <v>#N/A</v>
      </c>
      <c r="AV43" s="444">
        <f>rents!U47</f>
        <v>0</v>
      </c>
      <c r="AW43" s="445">
        <f>rents!T47</f>
        <v>0</v>
      </c>
      <c r="AX43" s="446">
        <f t="shared" si="11"/>
        <v>0</v>
      </c>
      <c r="AY43" s="446">
        <f t="shared" si="12"/>
        <v>0</v>
      </c>
      <c r="AZ43" s="436">
        <v>32</v>
      </c>
      <c r="BA43" s="447">
        <f t="shared" si="13"/>
        <v>1</v>
      </c>
      <c r="BB43" s="436">
        <v>32</v>
      </c>
      <c r="BC43" s="448">
        <f t="shared" si="14"/>
        <v>1</v>
      </c>
    </row>
    <row r="44" spans="11:55" ht="14.25" customHeight="1">
      <c r="K44" s="434" t="str">
        <f t="shared" si="25"/>
        <v/>
      </c>
      <c r="S44" s="435"/>
      <c r="T44" s="436">
        <f t="shared" si="33"/>
        <v>43</v>
      </c>
      <c r="U44" s="437" t="e">
        <f t="shared" si="41"/>
        <v>#N/A</v>
      </c>
      <c r="V44" s="438">
        <f t="shared" si="42"/>
        <v>0</v>
      </c>
      <c r="W44" s="438">
        <v>1</v>
      </c>
      <c r="X44" s="439" t="e">
        <f t="shared" si="34"/>
        <v>#N/A</v>
      </c>
      <c r="Y44" s="440" t="e">
        <f t="shared" si="43"/>
        <v>#N/A</v>
      </c>
      <c r="Z44" s="441" t="e">
        <f t="shared" si="3"/>
        <v>#N/A</v>
      </c>
      <c r="AA44" s="442" t="str">
        <f t="shared" si="35"/>
        <v/>
      </c>
      <c r="AB44" s="443" t="str">
        <f t="shared" si="36"/>
        <v/>
      </c>
      <c r="AC44" s="444" t="e">
        <f t="shared" si="44"/>
        <v>#N/A</v>
      </c>
      <c r="AD44" s="445" t="e">
        <f t="shared" si="45"/>
        <v>#N/A</v>
      </c>
      <c r="AE44" s="446" t="e">
        <f t="shared" si="6"/>
        <v>#N/A</v>
      </c>
      <c r="AF44" s="446" t="e">
        <f t="shared" si="7"/>
        <v>#N/A</v>
      </c>
      <c r="AG44" s="436">
        <v>0</v>
      </c>
      <c r="AH44" s="447">
        <f t="shared" si="8"/>
        <v>0</v>
      </c>
      <c r="AI44" s="436">
        <v>0</v>
      </c>
      <c r="AJ44" s="448">
        <f t="shared" si="9"/>
        <v>0</v>
      </c>
      <c r="AL44" s="435" t="str">
        <f t="shared" si="37"/>
        <v/>
      </c>
      <c r="AM44" s="436">
        <f t="shared" si="38"/>
        <v>43</v>
      </c>
      <c r="AN44" s="437">
        <f>rents!Q48</f>
        <v>0</v>
      </c>
      <c r="AO44" s="438">
        <v>1</v>
      </c>
      <c r="AP44" s="438">
        <v>1</v>
      </c>
      <c r="AQ44" s="439">
        <f t="shared" si="39"/>
        <v>1</v>
      </c>
      <c r="AR44" s="440">
        <f>rents!R48</f>
        <v>0</v>
      </c>
      <c r="AS44" s="441">
        <f t="shared" si="10"/>
        <v>0</v>
      </c>
      <c r="AT44" s="442" t="e" cm="1">
        <f t="array" ref="AT44">CONCATENATE(_xlfn.IFS(rents!C48=1,"HTF",rents!D48=1,"HOME",rents!E48=1,"Lead Paint",rents!F48=1,"Project Based Assistance",rents!G48=1,"Tax Credit",rents!H48=1,"VHCB",rents!I48=1,"ADA Mobility",rents!J48=1,"ADA A/V",rents!K48=1, "Adaptable",rents!L48=1,"General",rents!M48=1,"Age Restricted",rents!N48=1,rents!$N$4,rents!O48=1,rents!$O$4,rents!P48=1,"Unrestricted"), ", ",
_xlfn.IFS(rents!V48=1,"30% AMI",rents!W48=1,"40% AMI",rents!X48=1,"50% AMI",rents!Y48=1,"60% AMI",rents!Z48=1,"70% AMI",rents!AA48=1,"80% AMI",rents!AB48=1,"100% AMI",rents!AC48=1,"Market Rate"))</f>
        <v>#N/A</v>
      </c>
      <c r="AU44" s="443" t="e">
        <f t="shared" si="40"/>
        <v>#N/A</v>
      </c>
      <c r="AV44" s="444">
        <f>rents!U48</f>
        <v>0</v>
      </c>
      <c r="AW44" s="445">
        <f>rents!T48</f>
        <v>0</v>
      </c>
      <c r="AX44" s="446">
        <f t="shared" si="11"/>
        <v>0</v>
      </c>
      <c r="AY44" s="446">
        <f t="shared" si="12"/>
        <v>0</v>
      </c>
      <c r="AZ44" s="436">
        <v>33</v>
      </c>
      <c r="BA44" s="447">
        <f t="shared" si="13"/>
        <v>1</v>
      </c>
      <c r="BB44" s="436">
        <v>33</v>
      </c>
      <c r="BC44" s="448">
        <f t="shared" si="14"/>
        <v>1</v>
      </c>
    </row>
    <row r="45" spans="11:55" ht="14.25" customHeight="1">
      <c r="K45" s="434" t="str">
        <f t="shared" si="25"/>
        <v/>
      </c>
      <c r="S45" s="435"/>
      <c r="T45" s="436">
        <f t="shared" si="33"/>
        <v>44</v>
      </c>
      <c r="U45" s="437" t="e">
        <f t="shared" si="41"/>
        <v>#N/A</v>
      </c>
      <c r="V45" s="438">
        <f t="shared" si="42"/>
        <v>0</v>
      </c>
      <c r="W45" s="438">
        <v>1</v>
      </c>
      <c r="X45" s="439" t="e">
        <f t="shared" si="34"/>
        <v>#N/A</v>
      </c>
      <c r="Y45" s="440" t="e">
        <f t="shared" si="43"/>
        <v>#N/A</v>
      </c>
      <c r="Z45" s="441" t="e">
        <f t="shared" si="3"/>
        <v>#N/A</v>
      </c>
      <c r="AA45" s="442" t="str">
        <f t="shared" si="35"/>
        <v/>
      </c>
      <c r="AB45" s="443" t="str">
        <f t="shared" si="36"/>
        <v/>
      </c>
      <c r="AC45" s="444" t="e">
        <f t="shared" si="44"/>
        <v>#N/A</v>
      </c>
      <c r="AD45" s="445" t="e">
        <f t="shared" si="45"/>
        <v>#N/A</v>
      </c>
      <c r="AE45" s="446" t="e">
        <f t="shared" si="6"/>
        <v>#N/A</v>
      </c>
      <c r="AF45" s="446" t="e">
        <f t="shared" si="7"/>
        <v>#N/A</v>
      </c>
      <c r="AG45" s="436">
        <v>0</v>
      </c>
      <c r="AH45" s="447">
        <f t="shared" si="8"/>
        <v>0</v>
      </c>
      <c r="AI45" s="436">
        <v>0</v>
      </c>
      <c r="AJ45" s="448">
        <f t="shared" si="9"/>
        <v>0</v>
      </c>
      <c r="AL45" s="435" t="str">
        <f t="shared" si="37"/>
        <v/>
      </c>
      <c r="AM45" s="436">
        <f t="shared" si="38"/>
        <v>44</v>
      </c>
      <c r="AN45" s="437">
        <f>rents!Q49</f>
        <v>0</v>
      </c>
      <c r="AO45" s="438">
        <v>1</v>
      </c>
      <c r="AP45" s="438">
        <v>1</v>
      </c>
      <c r="AQ45" s="439">
        <f t="shared" si="39"/>
        <v>1</v>
      </c>
      <c r="AR45" s="440">
        <f>rents!R49</f>
        <v>0</v>
      </c>
      <c r="AS45" s="441">
        <f t="shared" si="10"/>
        <v>0</v>
      </c>
      <c r="AT45" s="442" t="e" cm="1">
        <f t="array" ref="AT45">CONCATENATE(_xlfn.IFS(rents!C49=1,"HTF",rents!D49=1,"HOME",rents!E49=1,"Lead Paint",rents!F49=1,"Project Based Assistance",rents!G49=1,"Tax Credit",rents!H49=1,"VHCB",rents!I49=1,"ADA Mobility",rents!J49=1,"ADA A/V",rents!K49=1, "Adaptable",rents!L49=1,"General",rents!M49=1,"Age Restricted",rents!N49=1,rents!$N$4,rents!O49=1,rents!$O$4,rents!P49=1,"Unrestricted"), ", ",
_xlfn.IFS(rents!V49=1,"30% AMI",rents!W49=1,"40% AMI",rents!X49=1,"50% AMI",rents!Y49=1,"60% AMI",rents!Z49=1,"70% AMI",rents!AA49=1,"80% AMI",rents!AB49=1,"100% AMI",rents!AC49=1,"Market Rate"))</f>
        <v>#N/A</v>
      </c>
      <c r="AU45" s="443" t="e">
        <f t="shared" si="40"/>
        <v>#N/A</v>
      </c>
      <c r="AV45" s="444">
        <f>rents!U49</f>
        <v>0</v>
      </c>
      <c r="AW45" s="445">
        <f>rents!T49</f>
        <v>0</v>
      </c>
      <c r="AX45" s="446">
        <f t="shared" si="11"/>
        <v>0</v>
      </c>
      <c r="AY45" s="446">
        <f t="shared" si="12"/>
        <v>0</v>
      </c>
      <c r="AZ45" s="436">
        <v>34</v>
      </c>
      <c r="BA45" s="447">
        <f t="shared" si="13"/>
        <v>1</v>
      </c>
      <c r="BB45" s="436">
        <v>34</v>
      </c>
      <c r="BC45" s="448">
        <f t="shared" si="14"/>
        <v>1</v>
      </c>
    </row>
    <row r="46" spans="11:55" ht="14.25" customHeight="1">
      <c r="K46" s="434" t="str">
        <f t="shared" si="25"/>
        <v/>
      </c>
      <c r="S46" s="435"/>
      <c r="T46" s="436">
        <f t="shared" si="33"/>
        <v>45</v>
      </c>
      <c r="U46" s="437" t="e">
        <f t="shared" si="41"/>
        <v>#N/A</v>
      </c>
      <c r="V46" s="438">
        <f t="shared" si="42"/>
        <v>0</v>
      </c>
      <c r="W46" s="438">
        <v>1</v>
      </c>
      <c r="X46" s="439" t="e">
        <f t="shared" si="34"/>
        <v>#N/A</v>
      </c>
      <c r="Y46" s="440" t="e">
        <f t="shared" si="43"/>
        <v>#N/A</v>
      </c>
      <c r="Z46" s="441" t="e">
        <f t="shared" si="3"/>
        <v>#N/A</v>
      </c>
      <c r="AA46" s="442" t="str">
        <f t="shared" si="35"/>
        <v/>
      </c>
      <c r="AB46" s="443" t="str">
        <f t="shared" si="36"/>
        <v/>
      </c>
      <c r="AC46" s="444" t="e">
        <f t="shared" si="44"/>
        <v>#N/A</v>
      </c>
      <c r="AD46" s="445" t="e">
        <f t="shared" si="45"/>
        <v>#N/A</v>
      </c>
      <c r="AE46" s="446" t="e">
        <f t="shared" si="6"/>
        <v>#N/A</v>
      </c>
      <c r="AF46" s="446" t="e">
        <f t="shared" si="7"/>
        <v>#N/A</v>
      </c>
      <c r="AG46" s="436">
        <v>0</v>
      </c>
      <c r="AH46" s="447">
        <f t="shared" si="8"/>
        <v>0</v>
      </c>
      <c r="AI46" s="436">
        <v>0</v>
      </c>
      <c r="AJ46" s="448">
        <f t="shared" si="9"/>
        <v>0</v>
      </c>
      <c r="AL46" s="435" t="str">
        <f t="shared" si="37"/>
        <v/>
      </c>
      <c r="AM46" s="436">
        <f t="shared" si="38"/>
        <v>45</v>
      </c>
      <c r="AN46" s="437">
        <f>rents!Q50</f>
        <v>0</v>
      </c>
      <c r="AO46" s="438">
        <v>1</v>
      </c>
      <c r="AP46" s="438">
        <v>1</v>
      </c>
      <c r="AQ46" s="439">
        <f t="shared" si="39"/>
        <v>1</v>
      </c>
      <c r="AR46" s="440">
        <f>rents!R50</f>
        <v>0</v>
      </c>
      <c r="AS46" s="441">
        <f t="shared" si="10"/>
        <v>0</v>
      </c>
      <c r="AT46" s="442" t="e" cm="1">
        <f t="array" ref="AT46">CONCATENATE(_xlfn.IFS(rents!C50=1,"HTF",rents!D50=1,"HOME",rents!E50=1,"Lead Paint",rents!F50=1,"Project Based Assistance",rents!G50=1,"Tax Credit",rents!H50=1,"VHCB",rents!I50=1,"ADA Mobility",rents!J50=1,"ADA A/V",rents!K50=1, "Adaptable",rents!L50=1,"General",rents!M50=1,"Age Restricted",rents!N50=1,rents!$N$4,rents!O50=1,rents!$O$4,rents!P50=1,"Unrestricted"), ", ",
_xlfn.IFS(rents!V50=1,"30% AMI",rents!W50=1,"40% AMI",rents!X50=1,"50% AMI",rents!Y50=1,"60% AMI",rents!Z50=1,"70% AMI",rents!AA50=1,"80% AMI",rents!AB50=1,"100% AMI",rents!AC50=1,"Market Rate"))</f>
        <v>#N/A</v>
      </c>
      <c r="AU46" s="443" t="e">
        <f t="shared" si="40"/>
        <v>#N/A</v>
      </c>
      <c r="AV46" s="444">
        <f>rents!U50</f>
        <v>0</v>
      </c>
      <c r="AW46" s="445">
        <f>rents!T50</f>
        <v>0</v>
      </c>
      <c r="AX46" s="446">
        <f t="shared" si="11"/>
        <v>0</v>
      </c>
      <c r="AY46" s="446">
        <f t="shared" si="12"/>
        <v>0</v>
      </c>
      <c r="AZ46" s="436">
        <v>35</v>
      </c>
      <c r="BA46" s="447">
        <f t="shared" si="13"/>
        <v>1</v>
      </c>
      <c r="BB46" s="436">
        <v>35</v>
      </c>
      <c r="BC46" s="448">
        <f t="shared" si="14"/>
        <v>1</v>
      </c>
    </row>
    <row r="47" spans="11:55" ht="14.25" customHeight="1">
      <c r="K47" s="434" t="str">
        <f t="shared" si="25"/>
        <v/>
      </c>
      <c r="S47" s="435"/>
      <c r="T47" s="436">
        <f t="shared" si="33"/>
        <v>46</v>
      </c>
      <c r="U47" s="437" t="e">
        <f t="shared" si="41"/>
        <v>#N/A</v>
      </c>
      <c r="V47" s="438">
        <f t="shared" si="42"/>
        <v>0</v>
      </c>
      <c r="W47" s="438">
        <v>1</v>
      </c>
      <c r="X47" s="439" t="e">
        <f t="shared" si="34"/>
        <v>#N/A</v>
      </c>
      <c r="Y47" s="440" t="e">
        <f t="shared" si="43"/>
        <v>#N/A</v>
      </c>
      <c r="Z47" s="441" t="e">
        <f t="shared" si="3"/>
        <v>#N/A</v>
      </c>
      <c r="AA47" s="442" t="str">
        <f t="shared" si="35"/>
        <v/>
      </c>
      <c r="AB47" s="443" t="str">
        <f t="shared" si="36"/>
        <v/>
      </c>
      <c r="AC47" s="444" t="e">
        <f t="shared" si="44"/>
        <v>#N/A</v>
      </c>
      <c r="AD47" s="445" t="e">
        <f t="shared" si="45"/>
        <v>#N/A</v>
      </c>
      <c r="AE47" s="446" t="e">
        <f t="shared" si="6"/>
        <v>#N/A</v>
      </c>
      <c r="AF47" s="446" t="e">
        <f t="shared" si="7"/>
        <v>#N/A</v>
      </c>
      <c r="AG47" s="436">
        <v>0</v>
      </c>
      <c r="AH47" s="447">
        <f t="shared" si="8"/>
        <v>0</v>
      </c>
      <c r="AI47" s="436">
        <v>0</v>
      </c>
      <c r="AJ47" s="448">
        <f t="shared" si="9"/>
        <v>0</v>
      </c>
      <c r="AL47" s="435" t="str">
        <f t="shared" si="37"/>
        <v/>
      </c>
      <c r="AM47" s="436">
        <f t="shared" si="38"/>
        <v>46</v>
      </c>
      <c r="AN47" s="437">
        <f>rents!Q51</f>
        <v>0</v>
      </c>
      <c r="AO47" s="438">
        <v>1</v>
      </c>
      <c r="AP47" s="438">
        <v>1</v>
      </c>
      <c r="AQ47" s="439">
        <f t="shared" si="39"/>
        <v>1</v>
      </c>
      <c r="AR47" s="440">
        <f>rents!R51</f>
        <v>0</v>
      </c>
      <c r="AS47" s="441">
        <f t="shared" si="10"/>
        <v>0</v>
      </c>
      <c r="AT47" s="442" t="e" cm="1">
        <f t="array" ref="AT47">CONCATENATE(_xlfn.IFS(rents!C51=1,"HTF",rents!D51=1,"HOME",rents!E51=1,"Lead Paint",rents!F51=1,"Project Based Assistance",rents!G51=1,"Tax Credit",rents!H51=1,"VHCB",rents!I51=1,"ADA Mobility",rents!J51=1,"ADA A/V",rents!K51=1, "Adaptable",rents!L51=1,"General",rents!M51=1,"Age Restricted",rents!N51=1,rents!$N$4,rents!O51=1,rents!$O$4,rents!P51=1,"Unrestricted"), ", ",
_xlfn.IFS(rents!V51=1,"30% AMI",rents!W51=1,"40% AMI",rents!X51=1,"50% AMI",rents!Y51=1,"60% AMI",rents!Z51=1,"70% AMI",rents!AA51=1,"80% AMI",rents!AB51=1,"100% AMI",rents!AC51=1,"Market Rate"))</f>
        <v>#N/A</v>
      </c>
      <c r="AU47" s="443" t="e">
        <f t="shared" si="40"/>
        <v>#N/A</v>
      </c>
      <c r="AV47" s="444">
        <f>rents!U51</f>
        <v>0</v>
      </c>
      <c r="AW47" s="445">
        <f>rents!T51</f>
        <v>0</v>
      </c>
      <c r="AX47" s="446">
        <f t="shared" si="11"/>
        <v>0</v>
      </c>
      <c r="AY47" s="446">
        <f t="shared" si="12"/>
        <v>0</v>
      </c>
      <c r="AZ47" s="436">
        <v>36</v>
      </c>
      <c r="BA47" s="447">
        <f t="shared" si="13"/>
        <v>1</v>
      </c>
      <c r="BB47" s="436">
        <v>36</v>
      </c>
      <c r="BC47" s="448">
        <f t="shared" si="14"/>
        <v>1</v>
      </c>
    </row>
    <row r="48" spans="11:55" ht="14.25" customHeight="1">
      <c r="K48" s="434" t="str">
        <f t="shared" si="25"/>
        <v/>
      </c>
      <c r="S48" s="435"/>
      <c r="T48" s="436">
        <f t="shared" si="33"/>
        <v>47</v>
      </c>
      <c r="U48" s="437" t="e">
        <f t="shared" si="41"/>
        <v>#N/A</v>
      </c>
      <c r="V48" s="438">
        <f t="shared" si="42"/>
        <v>0</v>
      </c>
      <c r="W48" s="438">
        <v>1</v>
      </c>
      <c r="X48" s="439" t="e">
        <f t="shared" si="34"/>
        <v>#N/A</v>
      </c>
      <c r="Y48" s="440" t="e">
        <f t="shared" si="43"/>
        <v>#N/A</v>
      </c>
      <c r="Z48" s="441" t="e">
        <f t="shared" si="3"/>
        <v>#N/A</v>
      </c>
      <c r="AA48" s="442" t="str">
        <f t="shared" si="35"/>
        <v/>
      </c>
      <c r="AB48" s="443" t="str">
        <f t="shared" si="36"/>
        <v/>
      </c>
      <c r="AC48" s="444" t="e">
        <f t="shared" si="44"/>
        <v>#N/A</v>
      </c>
      <c r="AD48" s="445" t="e">
        <f t="shared" si="45"/>
        <v>#N/A</v>
      </c>
      <c r="AE48" s="446" t="e">
        <f t="shared" si="6"/>
        <v>#N/A</v>
      </c>
      <c r="AF48" s="446" t="e">
        <f t="shared" si="7"/>
        <v>#N/A</v>
      </c>
      <c r="AG48" s="436">
        <v>0</v>
      </c>
      <c r="AH48" s="447">
        <f t="shared" si="8"/>
        <v>0</v>
      </c>
      <c r="AI48" s="436">
        <v>0</v>
      </c>
      <c r="AJ48" s="448">
        <f t="shared" si="9"/>
        <v>0</v>
      </c>
      <c r="AL48" s="435" t="str">
        <f t="shared" si="37"/>
        <v/>
      </c>
      <c r="AM48" s="436">
        <f t="shared" si="38"/>
        <v>47</v>
      </c>
      <c r="AN48" s="437">
        <f>rents!Q52</f>
        <v>0</v>
      </c>
      <c r="AO48" s="438">
        <v>1</v>
      </c>
      <c r="AP48" s="438">
        <v>1</v>
      </c>
      <c r="AQ48" s="439">
        <f t="shared" si="39"/>
        <v>1</v>
      </c>
      <c r="AR48" s="440">
        <f>rents!R52</f>
        <v>0</v>
      </c>
      <c r="AS48" s="441">
        <f t="shared" si="10"/>
        <v>0</v>
      </c>
      <c r="AT48" s="442" t="e" cm="1">
        <f t="array" ref="AT48">CONCATENATE(_xlfn.IFS(rents!C52=1,"HTF",rents!D52=1,"HOME",rents!E52=1,"Lead Paint",rents!F52=1,"Project Based Assistance",rents!G52=1,"Tax Credit",rents!H52=1,"VHCB",rents!I52=1,"ADA Mobility",rents!J52=1,"ADA A/V",rents!K52=1, "Adaptable",rents!L52=1,"General",rents!M52=1,"Age Restricted",rents!N52=1,rents!$N$4,rents!O52=1,rents!$O$4,rents!P52=1,"Unrestricted"), ", ",
_xlfn.IFS(rents!V52=1,"30% AMI",rents!W52=1,"40% AMI",rents!X52=1,"50% AMI",rents!Y52=1,"60% AMI",rents!Z52=1,"70% AMI",rents!AA52=1,"80% AMI",rents!AB52=1,"100% AMI",rents!AC52=1,"Market Rate"))</f>
        <v>#N/A</v>
      </c>
      <c r="AU48" s="443" t="e">
        <f t="shared" si="40"/>
        <v>#N/A</v>
      </c>
      <c r="AV48" s="444">
        <f>rents!U52</f>
        <v>0</v>
      </c>
      <c r="AW48" s="445">
        <f>rents!T52</f>
        <v>0</v>
      </c>
      <c r="AX48" s="446">
        <f t="shared" si="11"/>
        <v>0</v>
      </c>
      <c r="AY48" s="446">
        <f t="shared" si="12"/>
        <v>0</v>
      </c>
      <c r="AZ48" s="436">
        <v>37</v>
      </c>
      <c r="BA48" s="447">
        <f t="shared" si="13"/>
        <v>1</v>
      </c>
      <c r="BB48" s="436">
        <v>37</v>
      </c>
      <c r="BC48" s="448">
        <f t="shared" si="14"/>
        <v>1</v>
      </c>
    </row>
    <row r="49" spans="11:55" ht="14.25" customHeight="1">
      <c r="K49" s="434" t="str">
        <f t="shared" si="25"/>
        <v/>
      </c>
      <c r="S49" s="435"/>
      <c r="T49" s="436">
        <f t="shared" si="33"/>
        <v>48</v>
      </c>
      <c r="U49" s="437" t="e">
        <f t="shared" si="41"/>
        <v>#N/A</v>
      </c>
      <c r="V49" s="438">
        <f t="shared" si="42"/>
        <v>0</v>
      </c>
      <c r="W49" s="438">
        <v>1</v>
      </c>
      <c r="X49" s="439" t="e">
        <f t="shared" si="34"/>
        <v>#N/A</v>
      </c>
      <c r="Y49" s="440" t="e">
        <f t="shared" si="43"/>
        <v>#N/A</v>
      </c>
      <c r="Z49" s="441" t="e">
        <f t="shared" si="3"/>
        <v>#N/A</v>
      </c>
      <c r="AA49" s="442" t="str">
        <f t="shared" si="35"/>
        <v/>
      </c>
      <c r="AB49" s="443" t="str">
        <f t="shared" si="36"/>
        <v/>
      </c>
      <c r="AC49" s="444" t="e">
        <f t="shared" si="44"/>
        <v>#N/A</v>
      </c>
      <c r="AD49" s="445" t="e">
        <f t="shared" si="45"/>
        <v>#N/A</v>
      </c>
      <c r="AE49" s="446" t="e">
        <f t="shared" si="6"/>
        <v>#N/A</v>
      </c>
      <c r="AF49" s="446" t="e">
        <f t="shared" si="7"/>
        <v>#N/A</v>
      </c>
      <c r="AG49" s="436">
        <v>0</v>
      </c>
      <c r="AH49" s="447">
        <f t="shared" si="8"/>
        <v>0</v>
      </c>
      <c r="AI49" s="436">
        <v>0</v>
      </c>
      <c r="AJ49" s="448">
        <f t="shared" si="9"/>
        <v>0</v>
      </c>
      <c r="AL49" s="435" t="str">
        <f t="shared" si="37"/>
        <v/>
      </c>
      <c r="AM49" s="436">
        <f t="shared" si="38"/>
        <v>48</v>
      </c>
      <c r="AN49" s="437">
        <f>rents!Q53</f>
        <v>0</v>
      </c>
      <c r="AO49" s="438">
        <v>1</v>
      </c>
      <c r="AP49" s="438">
        <v>1</v>
      </c>
      <c r="AQ49" s="439">
        <f t="shared" si="39"/>
        <v>1</v>
      </c>
      <c r="AR49" s="440">
        <f>rents!R53</f>
        <v>0</v>
      </c>
      <c r="AS49" s="441">
        <f t="shared" si="10"/>
        <v>0</v>
      </c>
      <c r="AT49" s="442" t="e" cm="1">
        <f t="array" ref="AT49">CONCATENATE(_xlfn.IFS(rents!C53=1,"HTF",rents!D53=1,"HOME",rents!E53=1,"Lead Paint",rents!F53=1,"Project Based Assistance",rents!G53=1,"Tax Credit",rents!H53=1,"VHCB",rents!I53=1,"ADA Mobility",rents!J53=1,"ADA A/V",rents!K53=1, "Adaptable",rents!L53=1,"General",rents!M53=1,"Age Restricted",rents!N53=1,rents!$N$4,rents!O53=1,rents!$O$4,rents!P53=1,"Unrestricted"), ", ",
_xlfn.IFS(rents!V53=1,"30% AMI",rents!W53=1,"40% AMI",rents!X53=1,"50% AMI",rents!Y53=1,"60% AMI",rents!Z53=1,"70% AMI",rents!AA53=1,"80% AMI",rents!AB53=1,"100% AMI",rents!AC53=1,"Market Rate"))</f>
        <v>#N/A</v>
      </c>
      <c r="AU49" s="443" t="e">
        <f t="shared" si="40"/>
        <v>#N/A</v>
      </c>
      <c r="AV49" s="444">
        <f>rents!U53</f>
        <v>0</v>
      </c>
      <c r="AW49" s="445">
        <f>rents!T53</f>
        <v>0</v>
      </c>
      <c r="AX49" s="446">
        <f t="shared" si="11"/>
        <v>0</v>
      </c>
      <c r="AY49" s="446">
        <f t="shared" si="12"/>
        <v>0</v>
      </c>
      <c r="AZ49" s="436">
        <v>38</v>
      </c>
      <c r="BA49" s="447">
        <f t="shared" si="13"/>
        <v>1</v>
      </c>
      <c r="BB49" s="436">
        <v>38</v>
      </c>
      <c r="BC49" s="448">
        <f t="shared" si="14"/>
        <v>1</v>
      </c>
    </row>
    <row r="50" spans="11:55" ht="14.25" customHeight="1">
      <c r="K50" s="434" t="str">
        <f t="shared" si="25"/>
        <v/>
      </c>
      <c r="S50" s="435"/>
      <c r="T50" s="436">
        <f t="shared" si="33"/>
        <v>49</v>
      </c>
      <c r="U50" s="437" t="e">
        <f t="shared" si="41"/>
        <v>#N/A</v>
      </c>
      <c r="V50" s="438">
        <f t="shared" si="42"/>
        <v>0</v>
      </c>
      <c r="W50" s="438">
        <v>1</v>
      </c>
      <c r="X50" s="439" t="e">
        <f t="shared" si="34"/>
        <v>#N/A</v>
      </c>
      <c r="Y50" s="440" t="e">
        <f t="shared" si="43"/>
        <v>#N/A</v>
      </c>
      <c r="Z50" s="441" t="e">
        <f t="shared" si="3"/>
        <v>#N/A</v>
      </c>
      <c r="AA50" s="442" t="str">
        <f t="shared" si="35"/>
        <v/>
      </c>
      <c r="AB50" s="443" t="str">
        <f t="shared" si="36"/>
        <v/>
      </c>
      <c r="AC50" s="444" t="e">
        <f t="shared" si="44"/>
        <v>#N/A</v>
      </c>
      <c r="AD50" s="445" t="e">
        <f t="shared" si="45"/>
        <v>#N/A</v>
      </c>
      <c r="AE50" s="446" t="e">
        <f t="shared" si="6"/>
        <v>#N/A</v>
      </c>
      <c r="AF50" s="446" t="e">
        <f t="shared" si="7"/>
        <v>#N/A</v>
      </c>
      <c r="AG50" s="436">
        <v>0</v>
      </c>
      <c r="AH50" s="447">
        <f t="shared" si="8"/>
        <v>0</v>
      </c>
      <c r="AI50" s="436">
        <v>0</v>
      </c>
      <c r="AJ50" s="448">
        <f t="shared" si="9"/>
        <v>0</v>
      </c>
      <c r="AL50" s="435" t="str">
        <f t="shared" si="37"/>
        <v/>
      </c>
      <c r="AM50" s="436">
        <f t="shared" si="38"/>
        <v>49</v>
      </c>
      <c r="AN50" s="437">
        <f>rents!Q54</f>
        <v>0</v>
      </c>
      <c r="AO50" s="438">
        <v>1</v>
      </c>
      <c r="AP50" s="438">
        <v>1</v>
      </c>
      <c r="AQ50" s="439">
        <f t="shared" si="39"/>
        <v>1</v>
      </c>
      <c r="AR50" s="440">
        <f>rents!R54</f>
        <v>0</v>
      </c>
      <c r="AS50" s="441">
        <f t="shared" si="10"/>
        <v>0</v>
      </c>
      <c r="AT50" s="442" t="e" cm="1">
        <f t="array" ref="AT50">CONCATENATE(_xlfn.IFS(rents!C54=1,"HTF",rents!D54=1,"HOME",rents!E54=1,"Lead Paint",rents!F54=1,"Project Based Assistance",rents!G54=1,"Tax Credit",rents!H54=1,"VHCB",rents!I54=1,"ADA Mobility",rents!J54=1,"ADA A/V",rents!K54=1, "Adaptable",rents!L54=1,"General",rents!M54=1,"Age Restricted",rents!N54=1,rents!$N$4,rents!O54=1,rents!$O$4,rents!P54=1,"Unrestricted"), ", ",
_xlfn.IFS(rents!V54=1,"30% AMI",rents!W54=1,"40% AMI",rents!X54=1,"50% AMI",rents!Y54=1,"60% AMI",rents!Z54=1,"70% AMI",rents!AA54=1,"80% AMI",rents!AB54=1,"100% AMI",rents!AC54=1,"Market Rate"))</f>
        <v>#N/A</v>
      </c>
      <c r="AU50" s="443" t="e">
        <f t="shared" si="40"/>
        <v>#N/A</v>
      </c>
      <c r="AV50" s="444">
        <f>rents!U54</f>
        <v>0</v>
      </c>
      <c r="AW50" s="445">
        <f>rents!T54</f>
        <v>0</v>
      </c>
      <c r="AX50" s="446">
        <f t="shared" si="11"/>
        <v>0</v>
      </c>
      <c r="AY50" s="446">
        <f t="shared" si="12"/>
        <v>0</v>
      </c>
      <c r="AZ50" s="436">
        <v>39</v>
      </c>
      <c r="BA50" s="447">
        <f t="shared" si="13"/>
        <v>1</v>
      </c>
      <c r="BB50" s="436">
        <v>39</v>
      </c>
      <c r="BC50" s="448">
        <f t="shared" si="14"/>
        <v>1</v>
      </c>
    </row>
    <row r="51" spans="11:55" ht="14.25" customHeight="1">
      <c r="K51" s="434" t="str">
        <f t="shared" si="25"/>
        <v/>
      </c>
      <c r="S51" s="435"/>
      <c r="T51" s="436">
        <f t="shared" si="33"/>
        <v>50</v>
      </c>
      <c r="U51" s="437" t="e">
        <f t="shared" si="41"/>
        <v>#N/A</v>
      </c>
      <c r="V51" s="438">
        <f t="shared" si="42"/>
        <v>0</v>
      </c>
      <c r="W51" s="438">
        <v>1</v>
      </c>
      <c r="X51" s="439" t="e">
        <f t="shared" si="34"/>
        <v>#N/A</v>
      </c>
      <c r="Y51" s="440" t="e">
        <f t="shared" si="43"/>
        <v>#N/A</v>
      </c>
      <c r="Z51" s="441" t="e">
        <f t="shared" si="3"/>
        <v>#N/A</v>
      </c>
      <c r="AA51" s="442" t="str">
        <f t="shared" si="35"/>
        <v/>
      </c>
      <c r="AB51" s="443" t="str">
        <f t="shared" si="36"/>
        <v/>
      </c>
      <c r="AC51" s="444" t="e">
        <f t="shared" si="44"/>
        <v>#N/A</v>
      </c>
      <c r="AD51" s="445" t="e">
        <f t="shared" si="45"/>
        <v>#N/A</v>
      </c>
      <c r="AE51" s="446" t="e">
        <f t="shared" si="6"/>
        <v>#N/A</v>
      </c>
      <c r="AF51" s="446" t="e">
        <f t="shared" si="7"/>
        <v>#N/A</v>
      </c>
      <c r="AG51" s="436">
        <v>0</v>
      </c>
      <c r="AH51" s="447">
        <f t="shared" si="8"/>
        <v>0</v>
      </c>
      <c r="AI51" s="436">
        <v>0</v>
      </c>
      <c r="AJ51" s="448">
        <f t="shared" si="9"/>
        <v>0</v>
      </c>
      <c r="AL51" s="435" t="str">
        <f t="shared" si="37"/>
        <v/>
      </c>
      <c r="AM51" s="436">
        <f t="shared" si="38"/>
        <v>50</v>
      </c>
      <c r="AN51" s="437">
        <f>rents!Q55</f>
        <v>0</v>
      </c>
      <c r="AO51" s="438">
        <v>1</v>
      </c>
      <c r="AP51" s="438">
        <v>1</v>
      </c>
      <c r="AQ51" s="439">
        <f t="shared" si="39"/>
        <v>1</v>
      </c>
      <c r="AR51" s="440">
        <f>rents!R55</f>
        <v>0</v>
      </c>
      <c r="AS51" s="441">
        <f t="shared" si="10"/>
        <v>0</v>
      </c>
      <c r="AT51" s="442" t="e" cm="1">
        <f t="array" ref="AT51">CONCATENATE(_xlfn.IFS(rents!C55=1,"HTF",rents!D55=1,"HOME",rents!E55=1,"Lead Paint",rents!F55=1,"Project Based Assistance",rents!G55=1,"Tax Credit",rents!H55=1,"VHCB",rents!I55=1,"ADA Mobility",rents!J55=1,"ADA A/V",rents!K55=1, "Adaptable",rents!L55=1,"General",rents!M55=1,"Age Restricted",rents!N55=1,rents!$N$4,rents!O55=1,rents!$O$4,rents!P55=1,"Unrestricted"), ", ",
_xlfn.IFS(rents!V55=1,"30% AMI",rents!W55=1,"40% AMI",rents!X55=1,"50% AMI",rents!Y55=1,"60% AMI",rents!Z55=1,"70% AMI",rents!AA55=1,"80% AMI",rents!AB55=1,"100% AMI",rents!AC55=1,"Market Rate"))</f>
        <v>#N/A</v>
      </c>
      <c r="AU51" s="443" t="e">
        <f t="shared" si="40"/>
        <v>#N/A</v>
      </c>
      <c r="AV51" s="444">
        <f>rents!U55</f>
        <v>0</v>
      </c>
      <c r="AW51" s="445">
        <f>rents!T55</f>
        <v>0</v>
      </c>
      <c r="AX51" s="446">
        <f t="shared" si="11"/>
        <v>0</v>
      </c>
      <c r="AY51" s="446">
        <f t="shared" si="12"/>
        <v>0</v>
      </c>
      <c r="AZ51" s="436">
        <v>40</v>
      </c>
      <c r="BA51" s="447">
        <f t="shared" si="13"/>
        <v>1</v>
      </c>
      <c r="BB51" s="436">
        <v>40</v>
      </c>
      <c r="BC51" s="448">
        <f t="shared" si="14"/>
        <v>1</v>
      </c>
    </row>
    <row r="52" spans="11:55" ht="14.25" customHeight="1">
      <c r="K52" s="434" t="str">
        <f t="shared" si="25"/>
        <v/>
      </c>
      <c r="S52" s="435"/>
      <c r="T52" s="436">
        <f t="shared" si="33"/>
        <v>51</v>
      </c>
      <c r="U52" s="437" t="e">
        <f t="shared" si="41"/>
        <v>#N/A</v>
      </c>
      <c r="V52" s="438">
        <f t="shared" si="42"/>
        <v>0</v>
      </c>
      <c r="W52" s="438">
        <v>1</v>
      </c>
      <c r="X52" s="439" t="e">
        <f t="shared" si="34"/>
        <v>#N/A</v>
      </c>
      <c r="Y52" s="440" t="e">
        <f t="shared" si="43"/>
        <v>#N/A</v>
      </c>
      <c r="Z52" s="441" t="e">
        <f t="shared" si="3"/>
        <v>#N/A</v>
      </c>
      <c r="AA52" s="442" t="str">
        <f t="shared" si="35"/>
        <v/>
      </c>
      <c r="AB52" s="443" t="str">
        <f t="shared" si="36"/>
        <v/>
      </c>
      <c r="AC52" s="444" t="e">
        <f t="shared" si="44"/>
        <v>#N/A</v>
      </c>
      <c r="AD52" s="445" t="e">
        <f t="shared" si="45"/>
        <v>#N/A</v>
      </c>
      <c r="AE52" s="446" t="e">
        <f t="shared" si="6"/>
        <v>#N/A</v>
      </c>
      <c r="AF52" s="446" t="e">
        <f t="shared" si="7"/>
        <v>#N/A</v>
      </c>
      <c r="AG52" s="436">
        <v>0</v>
      </c>
      <c r="AH52" s="447">
        <f t="shared" si="8"/>
        <v>0</v>
      </c>
      <c r="AI52" s="436">
        <v>0</v>
      </c>
      <c r="AJ52" s="448">
        <f t="shared" si="9"/>
        <v>0</v>
      </c>
      <c r="AL52" s="435" t="str">
        <f t="shared" si="37"/>
        <v/>
      </c>
      <c r="AM52" s="436">
        <f t="shared" si="38"/>
        <v>51</v>
      </c>
      <c r="AN52" s="437">
        <f>rents!Q56</f>
        <v>0</v>
      </c>
      <c r="AO52" s="438">
        <v>1</v>
      </c>
      <c r="AP52" s="438">
        <v>1</v>
      </c>
      <c r="AQ52" s="439">
        <f t="shared" si="39"/>
        <v>1</v>
      </c>
      <c r="AR52" s="440">
        <f>rents!R56</f>
        <v>0</v>
      </c>
      <c r="AS52" s="441">
        <f t="shared" si="10"/>
        <v>0</v>
      </c>
      <c r="AT52" s="442" t="e" cm="1">
        <f t="array" ref="AT52">CONCATENATE(_xlfn.IFS(rents!C56=1,"HTF",rents!D56=1,"HOME",rents!E56=1,"Lead Paint",rents!F56=1,"Project Based Assistance",rents!G56=1,"Tax Credit",rents!H56=1,"VHCB",rents!I56=1,"ADA Mobility",rents!J56=1,"ADA A/V",rents!K56=1, "Adaptable",rents!L56=1,"General",rents!M56=1,"Age Restricted",rents!N56=1,rents!$N$4,rents!O56=1,rents!$O$4,rents!P56=1,"Unrestricted"), ", ",
_xlfn.IFS(rents!V56=1,"30% AMI",rents!W56=1,"40% AMI",rents!X56=1,"50% AMI",rents!Y56=1,"60% AMI",rents!Z56=1,"70% AMI",rents!AA56=1,"80% AMI",rents!AB56=1,"100% AMI",rents!AC56=1,"Market Rate"))</f>
        <v>#N/A</v>
      </c>
      <c r="AU52" s="443" t="e">
        <f t="shared" si="40"/>
        <v>#N/A</v>
      </c>
      <c r="AV52" s="444">
        <f>rents!U56</f>
        <v>0</v>
      </c>
      <c r="AW52" s="445">
        <f>rents!T56</f>
        <v>0</v>
      </c>
      <c r="AX52" s="446">
        <f t="shared" si="11"/>
        <v>0</v>
      </c>
      <c r="AY52" s="446">
        <f t="shared" si="12"/>
        <v>0</v>
      </c>
      <c r="AZ52" s="436">
        <v>41</v>
      </c>
      <c r="BA52" s="447">
        <f t="shared" si="13"/>
        <v>1</v>
      </c>
      <c r="BB52" s="436">
        <v>41</v>
      </c>
      <c r="BC52" s="448">
        <f t="shared" si="14"/>
        <v>1</v>
      </c>
    </row>
    <row r="53" spans="11:55" ht="14.25" customHeight="1">
      <c r="K53" s="434" t="str">
        <f t="shared" si="25"/>
        <v/>
      </c>
      <c r="S53" s="435"/>
      <c r="T53" s="436">
        <f t="shared" si="33"/>
        <v>52</v>
      </c>
      <c r="U53" s="437" t="e">
        <f t="shared" si="41"/>
        <v>#N/A</v>
      </c>
      <c r="V53" s="438">
        <f t="shared" si="42"/>
        <v>0</v>
      </c>
      <c r="W53" s="438">
        <v>1</v>
      </c>
      <c r="X53" s="439" t="e">
        <f t="shared" si="34"/>
        <v>#N/A</v>
      </c>
      <c r="Y53" s="440" t="e">
        <f t="shared" si="43"/>
        <v>#N/A</v>
      </c>
      <c r="Z53" s="441" t="e">
        <f t="shared" si="3"/>
        <v>#N/A</v>
      </c>
      <c r="AA53" s="442" t="str">
        <f t="shared" si="35"/>
        <v/>
      </c>
      <c r="AB53" s="443" t="str">
        <f t="shared" si="36"/>
        <v/>
      </c>
      <c r="AC53" s="444" t="e">
        <f t="shared" si="44"/>
        <v>#N/A</v>
      </c>
      <c r="AD53" s="445" t="e">
        <f t="shared" si="45"/>
        <v>#N/A</v>
      </c>
      <c r="AE53" s="446" t="e">
        <f t="shared" si="6"/>
        <v>#N/A</v>
      </c>
      <c r="AF53" s="446" t="e">
        <f t="shared" si="7"/>
        <v>#N/A</v>
      </c>
      <c r="AG53" s="436">
        <v>0</v>
      </c>
      <c r="AH53" s="447">
        <f t="shared" si="8"/>
        <v>0</v>
      </c>
      <c r="AI53" s="436">
        <v>0</v>
      </c>
      <c r="AJ53" s="448">
        <f t="shared" si="9"/>
        <v>0</v>
      </c>
      <c r="AL53" s="435" t="str">
        <f t="shared" si="37"/>
        <v/>
      </c>
      <c r="AM53" s="436">
        <f t="shared" si="38"/>
        <v>52</v>
      </c>
      <c r="AN53" s="437">
        <f>rents!Q57</f>
        <v>0</v>
      </c>
      <c r="AO53" s="438">
        <v>1</v>
      </c>
      <c r="AP53" s="438">
        <v>1</v>
      </c>
      <c r="AQ53" s="439">
        <f t="shared" si="39"/>
        <v>1</v>
      </c>
      <c r="AR53" s="440">
        <f>rents!R57</f>
        <v>0</v>
      </c>
      <c r="AS53" s="441">
        <f t="shared" si="10"/>
        <v>0</v>
      </c>
      <c r="AT53" s="442" t="e" cm="1">
        <f t="array" ref="AT53">CONCATENATE(_xlfn.IFS(rents!C57=1,"HTF",rents!D57=1,"HOME",rents!E57=1,"Lead Paint",rents!F57=1,"Project Based Assistance",rents!G57=1,"Tax Credit",rents!H57=1,"VHCB",rents!I57=1,"ADA Mobility",rents!J57=1,"ADA A/V",rents!K57=1, "Adaptable",rents!L57=1,"General",rents!M57=1,"Age Restricted",rents!N57=1,rents!$N$4,rents!O57=1,rents!$O$4,rents!P57=1,"Unrestricted"), ", ",
_xlfn.IFS(rents!V57=1,"30% AMI",rents!W57=1,"40% AMI",rents!X57=1,"50% AMI",rents!Y57=1,"60% AMI",rents!Z57=1,"70% AMI",rents!AA57=1,"80% AMI",rents!AB57=1,"100% AMI",rents!AC57=1,"Market Rate"))</f>
        <v>#N/A</v>
      </c>
      <c r="AU53" s="443" t="e">
        <f t="shared" si="40"/>
        <v>#N/A</v>
      </c>
      <c r="AV53" s="444">
        <f>rents!U57</f>
        <v>0</v>
      </c>
      <c r="AW53" s="445">
        <f>rents!T57</f>
        <v>0</v>
      </c>
      <c r="AX53" s="446">
        <f t="shared" si="11"/>
        <v>0</v>
      </c>
      <c r="AY53" s="446">
        <f t="shared" si="12"/>
        <v>0</v>
      </c>
      <c r="AZ53" s="436">
        <v>42</v>
      </c>
      <c r="BA53" s="447">
        <f t="shared" si="13"/>
        <v>1</v>
      </c>
      <c r="BB53" s="436">
        <v>42</v>
      </c>
      <c r="BC53" s="448">
        <f t="shared" si="14"/>
        <v>1</v>
      </c>
    </row>
    <row r="54" spans="11:55" ht="14.25" customHeight="1">
      <c r="K54" s="434" t="str">
        <f t="shared" si="25"/>
        <v/>
      </c>
      <c r="S54" s="435"/>
      <c r="T54" s="436">
        <f t="shared" si="33"/>
        <v>53</v>
      </c>
      <c r="U54" s="437" t="e">
        <f t="shared" si="41"/>
        <v>#N/A</v>
      </c>
      <c r="V54" s="438">
        <f t="shared" si="42"/>
        <v>0</v>
      </c>
      <c r="W54" s="438">
        <v>1</v>
      </c>
      <c r="X54" s="439" t="e">
        <f t="shared" si="34"/>
        <v>#N/A</v>
      </c>
      <c r="Y54" s="440" t="e">
        <f t="shared" si="43"/>
        <v>#N/A</v>
      </c>
      <c r="Z54" s="441" t="e">
        <f t="shared" si="3"/>
        <v>#N/A</v>
      </c>
      <c r="AA54" s="442" t="str">
        <f t="shared" si="35"/>
        <v/>
      </c>
      <c r="AB54" s="443" t="str">
        <f t="shared" si="36"/>
        <v/>
      </c>
      <c r="AC54" s="444" t="e">
        <f t="shared" si="44"/>
        <v>#N/A</v>
      </c>
      <c r="AD54" s="445" t="e">
        <f t="shared" si="45"/>
        <v>#N/A</v>
      </c>
      <c r="AE54" s="446" t="e">
        <f t="shared" si="6"/>
        <v>#N/A</v>
      </c>
      <c r="AF54" s="446" t="e">
        <f t="shared" si="7"/>
        <v>#N/A</v>
      </c>
      <c r="AG54" s="436">
        <v>0</v>
      </c>
      <c r="AH54" s="447">
        <f t="shared" si="8"/>
        <v>0</v>
      </c>
      <c r="AI54" s="436">
        <v>0</v>
      </c>
      <c r="AJ54" s="448">
        <f t="shared" si="9"/>
        <v>0</v>
      </c>
      <c r="AL54" s="435" t="str">
        <f t="shared" si="37"/>
        <v/>
      </c>
      <c r="AM54" s="436">
        <f t="shared" si="38"/>
        <v>53</v>
      </c>
      <c r="AN54" s="437">
        <f>rents!Q58</f>
        <v>0</v>
      </c>
      <c r="AO54" s="438">
        <v>1</v>
      </c>
      <c r="AP54" s="438">
        <v>1</v>
      </c>
      <c r="AQ54" s="439">
        <f t="shared" si="39"/>
        <v>1</v>
      </c>
      <c r="AR54" s="440">
        <f>rents!R58</f>
        <v>0</v>
      </c>
      <c r="AS54" s="441">
        <f t="shared" si="10"/>
        <v>0</v>
      </c>
      <c r="AT54" s="442" t="e" cm="1">
        <f t="array" ref="AT54">CONCATENATE(_xlfn.IFS(rents!C58=1,"HTF",rents!D58=1,"HOME",rents!E58=1,"Lead Paint",rents!F58=1,"Project Based Assistance",rents!G58=1,"Tax Credit",rents!H58=1,"VHCB",rents!I58=1,"ADA Mobility",rents!J58=1,"ADA A/V",rents!K58=1, "Adaptable",rents!L58=1,"General",rents!M58=1,"Age Restricted",rents!N58=1,rents!$N$4,rents!O58=1,rents!$O$4,rents!P58=1,"Unrestricted"), ", ",
_xlfn.IFS(rents!V58=1,"30% AMI",rents!W58=1,"40% AMI",rents!X58=1,"50% AMI",rents!Y58=1,"60% AMI",rents!Z58=1,"70% AMI",rents!AA58=1,"80% AMI",rents!AB58=1,"100% AMI",rents!AC58=1,"Market Rate"))</f>
        <v>#N/A</v>
      </c>
      <c r="AU54" s="443" t="e">
        <f t="shared" si="40"/>
        <v>#N/A</v>
      </c>
      <c r="AV54" s="444">
        <f>rents!U58</f>
        <v>0</v>
      </c>
      <c r="AW54" s="445">
        <f>rents!T58</f>
        <v>0</v>
      </c>
      <c r="AX54" s="446">
        <f t="shared" si="11"/>
        <v>0</v>
      </c>
      <c r="AY54" s="446">
        <f t="shared" si="12"/>
        <v>0</v>
      </c>
      <c r="AZ54" s="436">
        <v>43</v>
      </c>
      <c r="BA54" s="447">
        <f t="shared" si="13"/>
        <v>1</v>
      </c>
      <c r="BB54" s="436">
        <v>43</v>
      </c>
      <c r="BC54" s="448">
        <f t="shared" si="14"/>
        <v>1</v>
      </c>
    </row>
    <row r="55" spans="11:55" ht="14.25" customHeight="1">
      <c r="K55" s="434" t="str">
        <f t="shared" si="25"/>
        <v/>
      </c>
      <c r="S55" s="435"/>
      <c r="T55" s="436">
        <f t="shared" si="33"/>
        <v>54</v>
      </c>
      <c r="U55" s="437" t="e">
        <f t="shared" si="41"/>
        <v>#N/A</v>
      </c>
      <c r="V55" s="438">
        <f t="shared" si="42"/>
        <v>0</v>
      </c>
      <c r="W55" s="438">
        <v>1</v>
      </c>
      <c r="X55" s="439" t="e">
        <f t="shared" si="34"/>
        <v>#N/A</v>
      </c>
      <c r="Y55" s="440" t="e">
        <f t="shared" si="43"/>
        <v>#N/A</v>
      </c>
      <c r="Z55" s="441" t="e">
        <f t="shared" si="3"/>
        <v>#N/A</v>
      </c>
      <c r="AA55" s="442" t="str">
        <f t="shared" si="35"/>
        <v/>
      </c>
      <c r="AB55" s="443" t="str">
        <f t="shared" si="36"/>
        <v/>
      </c>
      <c r="AC55" s="444" t="e">
        <f t="shared" si="44"/>
        <v>#N/A</v>
      </c>
      <c r="AD55" s="445" t="e">
        <f t="shared" si="45"/>
        <v>#N/A</v>
      </c>
      <c r="AE55" s="446" t="e">
        <f t="shared" si="6"/>
        <v>#N/A</v>
      </c>
      <c r="AF55" s="446" t="e">
        <f t="shared" si="7"/>
        <v>#N/A</v>
      </c>
      <c r="AG55" s="436">
        <v>0</v>
      </c>
      <c r="AH55" s="447">
        <f t="shared" si="8"/>
        <v>0</v>
      </c>
      <c r="AI55" s="436">
        <v>0</v>
      </c>
      <c r="AJ55" s="448">
        <f t="shared" si="9"/>
        <v>0</v>
      </c>
      <c r="AL55" s="435" t="str">
        <f t="shared" si="37"/>
        <v/>
      </c>
      <c r="AM55" s="436">
        <f t="shared" si="38"/>
        <v>54</v>
      </c>
      <c r="AN55" s="437">
        <f>rents!Q59</f>
        <v>0</v>
      </c>
      <c r="AO55" s="438">
        <v>1</v>
      </c>
      <c r="AP55" s="438">
        <v>1</v>
      </c>
      <c r="AQ55" s="439">
        <f t="shared" si="39"/>
        <v>1</v>
      </c>
      <c r="AR55" s="440">
        <f>rents!R59</f>
        <v>0</v>
      </c>
      <c r="AS55" s="441">
        <f t="shared" si="10"/>
        <v>0</v>
      </c>
      <c r="AT55" s="442" t="e" cm="1">
        <f t="array" ref="AT55">CONCATENATE(_xlfn.IFS(rents!C59=1,"HTF",rents!D59=1,"HOME",rents!E59=1,"Lead Paint",rents!F59=1,"Project Based Assistance",rents!G59=1,"Tax Credit",rents!H59=1,"VHCB",rents!I59=1,"ADA Mobility",rents!J59=1,"ADA A/V",rents!K59=1, "Adaptable",rents!L59=1,"General",rents!M59=1,"Age Restricted",rents!N59=1,rents!$N$4,rents!O59=1,rents!$O$4,rents!P59=1,"Unrestricted"), ", ",
_xlfn.IFS(rents!V59=1,"30% AMI",rents!W59=1,"40% AMI",rents!X59=1,"50% AMI",rents!Y59=1,"60% AMI",rents!Z59=1,"70% AMI",rents!AA59=1,"80% AMI",rents!AB59=1,"100% AMI",rents!AC59=1,"Market Rate"))</f>
        <v>#N/A</v>
      </c>
      <c r="AU55" s="443" t="e">
        <f t="shared" si="40"/>
        <v>#N/A</v>
      </c>
      <c r="AV55" s="444">
        <f>rents!U59</f>
        <v>0</v>
      </c>
      <c r="AW55" s="445">
        <f>rents!T59</f>
        <v>0</v>
      </c>
      <c r="AX55" s="446">
        <f t="shared" si="11"/>
        <v>0</v>
      </c>
      <c r="AY55" s="446">
        <f t="shared" si="12"/>
        <v>0</v>
      </c>
      <c r="AZ55" s="436">
        <v>44</v>
      </c>
      <c r="BA55" s="447">
        <f t="shared" si="13"/>
        <v>1</v>
      </c>
      <c r="BB55" s="436">
        <v>44</v>
      </c>
      <c r="BC55" s="448">
        <f t="shared" si="14"/>
        <v>1</v>
      </c>
    </row>
    <row r="56" spans="11:55" ht="14.25" customHeight="1">
      <c r="K56" s="434" t="str">
        <f t="shared" si="25"/>
        <v/>
      </c>
      <c r="S56" s="435"/>
      <c r="T56" s="436">
        <f t="shared" si="33"/>
        <v>55</v>
      </c>
      <c r="U56" s="437" t="e">
        <f t="shared" si="41"/>
        <v>#N/A</v>
      </c>
      <c r="V56" s="438">
        <f t="shared" si="42"/>
        <v>0</v>
      </c>
      <c r="W56" s="438">
        <v>1</v>
      </c>
      <c r="X56" s="439" t="e">
        <f t="shared" si="34"/>
        <v>#N/A</v>
      </c>
      <c r="Y56" s="440" t="e">
        <f t="shared" si="43"/>
        <v>#N/A</v>
      </c>
      <c r="Z56" s="441" t="e">
        <f t="shared" si="3"/>
        <v>#N/A</v>
      </c>
      <c r="AA56" s="442" t="str">
        <f t="shared" si="35"/>
        <v/>
      </c>
      <c r="AB56" s="443" t="str">
        <f t="shared" si="36"/>
        <v/>
      </c>
      <c r="AC56" s="444" t="e">
        <f t="shared" si="44"/>
        <v>#N/A</v>
      </c>
      <c r="AD56" s="445" t="e">
        <f t="shared" si="45"/>
        <v>#N/A</v>
      </c>
      <c r="AE56" s="446" t="e">
        <f t="shared" si="6"/>
        <v>#N/A</v>
      </c>
      <c r="AF56" s="446" t="e">
        <f t="shared" si="7"/>
        <v>#N/A</v>
      </c>
      <c r="AG56" s="436">
        <v>0</v>
      </c>
      <c r="AH56" s="447">
        <f t="shared" si="8"/>
        <v>0</v>
      </c>
      <c r="AI56" s="436">
        <v>0</v>
      </c>
      <c r="AJ56" s="448">
        <f t="shared" si="9"/>
        <v>0</v>
      </c>
      <c r="AL56" s="435" t="str">
        <f t="shared" si="37"/>
        <v/>
      </c>
      <c r="AM56" s="436">
        <f t="shared" si="38"/>
        <v>55</v>
      </c>
      <c r="AN56" s="437">
        <f>rents!Q60</f>
        <v>0</v>
      </c>
      <c r="AO56" s="438">
        <v>1</v>
      </c>
      <c r="AP56" s="438">
        <v>1</v>
      </c>
      <c r="AQ56" s="439">
        <f t="shared" si="39"/>
        <v>1</v>
      </c>
      <c r="AR56" s="440">
        <f>rents!R60</f>
        <v>0</v>
      </c>
      <c r="AS56" s="441">
        <f t="shared" si="10"/>
        <v>0</v>
      </c>
      <c r="AT56" s="442" t="e" cm="1">
        <f t="array" ref="AT56">CONCATENATE(_xlfn.IFS(rents!C60=1,"HTF",rents!D60=1,"HOME",rents!E60=1,"Lead Paint",rents!F60=1,"Project Based Assistance",rents!G60=1,"Tax Credit",rents!H60=1,"VHCB",rents!I60=1,"ADA Mobility",rents!J60=1,"ADA A/V",rents!K60=1, "Adaptable",rents!L60=1,"General",rents!M60=1,"Age Restricted",rents!N60=1,rents!$N$4,rents!O60=1,rents!$O$4,rents!P60=1,"Unrestricted"), ", ",
_xlfn.IFS(rents!V60=1,"30% AMI",rents!W60=1,"40% AMI",rents!X60=1,"50% AMI",rents!Y60=1,"60% AMI",rents!Z60=1,"70% AMI",rents!AA60=1,"80% AMI",rents!AB60=1,"100% AMI",rents!AC60=1,"Market Rate"))</f>
        <v>#N/A</v>
      </c>
      <c r="AU56" s="443" t="e">
        <f t="shared" si="40"/>
        <v>#N/A</v>
      </c>
      <c r="AV56" s="444">
        <f>rents!U60</f>
        <v>0</v>
      </c>
      <c r="AW56" s="445">
        <f>rents!T60</f>
        <v>0</v>
      </c>
      <c r="AX56" s="446">
        <f t="shared" si="11"/>
        <v>0</v>
      </c>
      <c r="AY56" s="446">
        <f t="shared" si="12"/>
        <v>0</v>
      </c>
      <c r="AZ56" s="436">
        <v>45</v>
      </c>
      <c r="BA56" s="447">
        <f t="shared" si="13"/>
        <v>1</v>
      </c>
      <c r="BB56" s="436">
        <v>45</v>
      </c>
      <c r="BC56" s="448">
        <f t="shared" si="14"/>
        <v>1</v>
      </c>
    </row>
    <row r="57" spans="11:55" ht="14.25" customHeight="1">
      <c r="K57" s="434" t="str">
        <f t="shared" si="25"/>
        <v/>
      </c>
      <c r="S57" s="435"/>
      <c r="T57" s="436">
        <f t="shared" si="33"/>
        <v>56</v>
      </c>
      <c r="U57" s="437" t="e">
        <f t="shared" si="41"/>
        <v>#N/A</v>
      </c>
      <c r="V57" s="438">
        <f t="shared" si="42"/>
        <v>0</v>
      </c>
      <c r="W57" s="438">
        <v>1</v>
      </c>
      <c r="X57" s="439" t="e">
        <f t="shared" si="34"/>
        <v>#N/A</v>
      </c>
      <c r="Y57" s="440" t="e">
        <f t="shared" si="43"/>
        <v>#N/A</v>
      </c>
      <c r="Z57" s="441" t="e">
        <f t="shared" si="3"/>
        <v>#N/A</v>
      </c>
      <c r="AA57" s="442" t="str">
        <f t="shared" si="35"/>
        <v/>
      </c>
      <c r="AB57" s="443" t="str">
        <f t="shared" si="36"/>
        <v/>
      </c>
      <c r="AC57" s="444" t="e">
        <f t="shared" si="44"/>
        <v>#N/A</v>
      </c>
      <c r="AD57" s="445" t="e">
        <f t="shared" si="45"/>
        <v>#N/A</v>
      </c>
      <c r="AE57" s="446" t="e">
        <f t="shared" si="6"/>
        <v>#N/A</v>
      </c>
      <c r="AF57" s="446" t="e">
        <f t="shared" si="7"/>
        <v>#N/A</v>
      </c>
      <c r="AG57" s="436">
        <v>0</v>
      </c>
      <c r="AH57" s="447">
        <f t="shared" si="8"/>
        <v>0</v>
      </c>
      <c r="AI57" s="436">
        <v>0</v>
      </c>
      <c r="AJ57" s="448">
        <f t="shared" si="9"/>
        <v>0</v>
      </c>
      <c r="AL57" s="435" t="str">
        <f t="shared" si="37"/>
        <v/>
      </c>
      <c r="AM57" s="436">
        <f t="shared" si="38"/>
        <v>56</v>
      </c>
      <c r="AN57" s="437">
        <f>rents!Q61</f>
        <v>0</v>
      </c>
      <c r="AO57" s="438">
        <v>1</v>
      </c>
      <c r="AP57" s="438">
        <v>1</v>
      </c>
      <c r="AQ57" s="439">
        <f t="shared" si="39"/>
        <v>1</v>
      </c>
      <c r="AR57" s="440">
        <f>rents!R61</f>
        <v>0</v>
      </c>
      <c r="AS57" s="441">
        <f t="shared" si="10"/>
        <v>0</v>
      </c>
      <c r="AT57" s="442" t="e" cm="1">
        <f t="array" ref="AT57">CONCATENATE(_xlfn.IFS(rents!C61=1,"HTF",rents!D61=1,"HOME",rents!E61=1,"Lead Paint",rents!F61=1,"Project Based Assistance",rents!G61=1,"Tax Credit",rents!H61=1,"VHCB",rents!I61=1,"ADA Mobility",rents!J61=1,"ADA A/V",rents!K61=1, "Adaptable",rents!L61=1,"General",rents!M61=1,"Age Restricted",rents!N61=1,rents!$N$4,rents!O61=1,rents!$O$4,rents!P61=1,"Unrestricted"), ", ",
_xlfn.IFS(rents!V61=1,"30% AMI",rents!W61=1,"40% AMI",rents!X61=1,"50% AMI",rents!Y61=1,"60% AMI",rents!Z61=1,"70% AMI",rents!AA61=1,"80% AMI",rents!AB61=1,"100% AMI",rents!AC61=1,"Market Rate"))</f>
        <v>#N/A</v>
      </c>
      <c r="AU57" s="443" t="e">
        <f t="shared" si="40"/>
        <v>#N/A</v>
      </c>
      <c r="AV57" s="444">
        <f>rents!U61</f>
        <v>0</v>
      </c>
      <c r="AW57" s="445">
        <f>rents!T61</f>
        <v>0</v>
      </c>
      <c r="AX57" s="446">
        <f t="shared" si="11"/>
        <v>0</v>
      </c>
      <c r="AY57" s="446">
        <f t="shared" si="12"/>
        <v>0</v>
      </c>
      <c r="AZ57" s="436">
        <v>46</v>
      </c>
      <c r="BA57" s="447">
        <f t="shared" si="13"/>
        <v>1</v>
      </c>
      <c r="BB57" s="436">
        <v>46</v>
      </c>
      <c r="BC57" s="448">
        <f t="shared" si="14"/>
        <v>1</v>
      </c>
    </row>
    <row r="58" spans="11:55" ht="14.25" customHeight="1">
      <c r="K58" s="434" t="str">
        <f t="shared" si="25"/>
        <v/>
      </c>
      <c r="S58" s="435"/>
      <c r="T58" s="436">
        <f t="shared" si="33"/>
        <v>57</v>
      </c>
      <c r="U58" s="437" t="e">
        <f t="shared" si="41"/>
        <v>#N/A</v>
      </c>
      <c r="V58" s="438">
        <f t="shared" si="42"/>
        <v>0</v>
      </c>
      <c r="W58" s="438">
        <v>1</v>
      </c>
      <c r="X58" s="439" t="e">
        <f t="shared" si="34"/>
        <v>#N/A</v>
      </c>
      <c r="Y58" s="440" t="e">
        <f t="shared" si="43"/>
        <v>#N/A</v>
      </c>
      <c r="Z58" s="441" t="e">
        <f t="shared" si="3"/>
        <v>#N/A</v>
      </c>
      <c r="AA58" s="442" t="str">
        <f t="shared" si="35"/>
        <v/>
      </c>
      <c r="AB58" s="443" t="str">
        <f t="shared" si="36"/>
        <v/>
      </c>
      <c r="AC58" s="444" t="e">
        <f t="shared" si="44"/>
        <v>#N/A</v>
      </c>
      <c r="AD58" s="445" t="e">
        <f t="shared" si="45"/>
        <v>#N/A</v>
      </c>
      <c r="AE58" s="446" t="e">
        <f t="shared" si="6"/>
        <v>#N/A</v>
      </c>
      <c r="AF58" s="446" t="e">
        <f t="shared" si="7"/>
        <v>#N/A</v>
      </c>
      <c r="AG58" s="436">
        <v>0</v>
      </c>
      <c r="AH58" s="447">
        <f t="shared" si="8"/>
        <v>0</v>
      </c>
      <c r="AI58" s="436">
        <v>0</v>
      </c>
      <c r="AJ58" s="448">
        <f t="shared" si="9"/>
        <v>0</v>
      </c>
      <c r="AL58" s="435" t="str">
        <f t="shared" si="37"/>
        <v/>
      </c>
      <c r="AM58" s="436">
        <f t="shared" si="38"/>
        <v>57</v>
      </c>
      <c r="AN58" s="437">
        <f>rents!Q62</f>
        <v>0</v>
      </c>
      <c r="AO58" s="438">
        <v>1</v>
      </c>
      <c r="AP58" s="438">
        <v>1</v>
      </c>
      <c r="AQ58" s="439">
        <f t="shared" si="39"/>
        <v>1</v>
      </c>
      <c r="AR58" s="440">
        <f>rents!R62</f>
        <v>0</v>
      </c>
      <c r="AS58" s="441">
        <f t="shared" si="10"/>
        <v>0</v>
      </c>
      <c r="AT58" s="442" t="e" cm="1">
        <f t="array" ref="AT58">CONCATENATE(_xlfn.IFS(rents!C62=1,"HTF",rents!D62=1,"HOME",rents!E62=1,"Lead Paint",rents!F62=1,"Project Based Assistance",rents!G62=1,"Tax Credit",rents!H62=1,"VHCB",rents!I62=1,"ADA Mobility",rents!J62=1,"ADA A/V",rents!K62=1, "Adaptable",rents!L62=1,"General",rents!M62=1,"Age Restricted",rents!N62=1,rents!$N$4,rents!O62=1,rents!$O$4,rents!P62=1,"Unrestricted"), ", ",
_xlfn.IFS(rents!V62=1,"30% AMI",rents!W62=1,"40% AMI",rents!X62=1,"50% AMI",rents!Y62=1,"60% AMI",rents!Z62=1,"70% AMI",rents!AA62=1,"80% AMI",rents!AB62=1,"100% AMI",rents!AC62=1,"Market Rate"))</f>
        <v>#N/A</v>
      </c>
      <c r="AU58" s="443" t="e">
        <f t="shared" si="40"/>
        <v>#N/A</v>
      </c>
      <c r="AV58" s="444">
        <f>rents!U62</f>
        <v>0</v>
      </c>
      <c r="AW58" s="445">
        <f>rents!T62</f>
        <v>0</v>
      </c>
      <c r="AX58" s="446">
        <f t="shared" si="11"/>
        <v>0</v>
      </c>
      <c r="AY58" s="446">
        <f t="shared" si="12"/>
        <v>0</v>
      </c>
      <c r="AZ58" s="436">
        <v>47</v>
      </c>
      <c r="BA58" s="447">
        <f t="shared" si="13"/>
        <v>1</v>
      </c>
      <c r="BB58" s="436">
        <v>47</v>
      </c>
      <c r="BC58" s="448">
        <f t="shared" si="14"/>
        <v>1</v>
      </c>
    </row>
    <row r="59" spans="11:55" ht="14.25" customHeight="1">
      <c r="K59" s="434" t="str">
        <f t="shared" si="25"/>
        <v/>
      </c>
      <c r="S59" s="435"/>
      <c r="T59" s="436">
        <f t="shared" si="33"/>
        <v>58</v>
      </c>
      <c r="U59" s="437" t="e">
        <f t="shared" si="41"/>
        <v>#N/A</v>
      </c>
      <c r="V59" s="438">
        <f t="shared" si="42"/>
        <v>0</v>
      </c>
      <c r="W59" s="438">
        <v>1</v>
      </c>
      <c r="X59" s="439" t="e">
        <f t="shared" si="34"/>
        <v>#N/A</v>
      </c>
      <c r="Y59" s="440" t="e">
        <f t="shared" si="43"/>
        <v>#N/A</v>
      </c>
      <c r="Z59" s="441" t="e">
        <f t="shared" si="3"/>
        <v>#N/A</v>
      </c>
      <c r="AA59" s="442" t="str">
        <f t="shared" si="35"/>
        <v/>
      </c>
      <c r="AB59" s="443" t="str">
        <f t="shared" si="36"/>
        <v/>
      </c>
      <c r="AC59" s="444" t="e">
        <f t="shared" si="44"/>
        <v>#N/A</v>
      </c>
      <c r="AD59" s="445" t="e">
        <f t="shared" si="45"/>
        <v>#N/A</v>
      </c>
      <c r="AE59" s="446" t="e">
        <f t="shared" si="6"/>
        <v>#N/A</v>
      </c>
      <c r="AF59" s="446" t="e">
        <f t="shared" si="7"/>
        <v>#N/A</v>
      </c>
      <c r="AG59" s="436">
        <v>0</v>
      </c>
      <c r="AH59" s="447">
        <f t="shared" si="8"/>
        <v>0</v>
      </c>
      <c r="AI59" s="436">
        <v>0</v>
      </c>
      <c r="AJ59" s="448">
        <f t="shared" si="9"/>
        <v>0</v>
      </c>
      <c r="AL59" s="435" t="str">
        <f t="shared" si="37"/>
        <v/>
      </c>
      <c r="AM59" s="436">
        <f t="shared" si="38"/>
        <v>58</v>
      </c>
      <c r="AN59" s="437">
        <f>rents!Q63</f>
        <v>0</v>
      </c>
      <c r="AO59" s="438">
        <v>1</v>
      </c>
      <c r="AP59" s="438">
        <v>1</v>
      </c>
      <c r="AQ59" s="439">
        <f t="shared" si="39"/>
        <v>1</v>
      </c>
      <c r="AR59" s="440">
        <f>rents!R63</f>
        <v>0</v>
      </c>
      <c r="AS59" s="441">
        <f t="shared" si="10"/>
        <v>0</v>
      </c>
      <c r="AT59" s="442" t="e" cm="1">
        <f t="array" ref="AT59">CONCATENATE(_xlfn.IFS(rents!C63=1,"HTF",rents!D63=1,"HOME",rents!E63=1,"Lead Paint",rents!F63=1,"Project Based Assistance",rents!G63=1,"Tax Credit",rents!H63=1,"VHCB",rents!I63=1,"ADA Mobility",rents!J63=1,"ADA A/V",rents!K63=1, "Adaptable",rents!L63=1,"General",rents!M63=1,"Age Restricted",rents!N63=1,rents!$N$4,rents!O63=1,rents!$O$4,rents!P63=1,"Unrestricted"), ", ",
_xlfn.IFS(rents!V63=1,"30% AMI",rents!W63=1,"40% AMI",rents!X63=1,"50% AMI",rents!Y63=1,"60% AMI",rents!Z63=1,"70% AMI",rents!AA63=1,"80% AMI",rents!AB63=1,"100% AMI",rents!AC63=1,"Market Rate"))</f>
        <v>#N/A</v>
      </c>
      <c r="AU59" s="443" t="e">
        <f t="shared" si="40"/>
        <v>#N/A</v>
      </c>
      <c r="AV59" s="444">
        <f>rents!U63</f>
        <v>0</v>
      </c>
      <c r="AW59" s="445">
        <f>rents!T63</f>
        <v>0</v>
      </c>
      <c r="AX59" s="446">
        <f t="shared" si="11"/>
        <v>0</v>
      </c>
      <c r="AY59" s="446">
        <f t="shared" si="12"/>
        <v>0</v>
      </c>
      <c r="AZ59" s="436">
        <v>48</v>
      </c>
      <c r="BA59" s="447">
        <f t="shared" si="13"/>
        <v>1</v>
      </c>
      <c r="BB59" s="436">
        <v>48</v>
      </c>
      <c r="BC59" s="448">
        <f t="shared" si="14"/>
        <v>1</v>
      </c>
    </row>
    <row r="60" spans="11:55" ht="14.25" customHeight="1">
      <c r="K60" s="434" t="str">
        <f t="shared" si="25"/>
        <v/>
      </c>
      <c r="S60" s="435"/>
      <c r="T60" s="436">
        <f t="shared" si="33"/>
        <v>59</v>
      </c>
      <c r="U60" s="437" t="e">
        <f t="shared" si="41"/>
        <v>#N/A</v>
      </c>
      <c r="V60" s="438">
        <f t="shared" si="42"/>
        <v>0</v>
      </c>
      <c r="W60" s="438">
        <v>1</v>
      </c>
      <c r="X60" s="439" t="e">
        <f t="shared" si="34"/>
        <v>#N/A</v>
      </c>
      <c r="Y60" s="440" t="e">
        <f t="shared" si="43"/>
        <v>#N/A</v>
      </c>
      <c r="Z60" s="441" t="e">
        <f t="shared" si="3"/>
        <v>#N/A</v>
      </c>
      <c r="AA60" s="442" t="str">
        <f t="shared" si="35"/>
        <v/>
      </c>
      <c r="AB60" s="443" t="str">
        <f t="shared" si="36"/>
        <v/>
      </c>
      <c r="AC60" s="444" t="e">
        <f t="shared" si="44"/>
        <v>#N/A</v>
      </c>
      <c r="AD60" s="445" t="e">
        <f t="shared" si="45"/>
        <v>#N/A</v>
      </c>
      <c r="AE60" s="446" t="e">
        <f t="shared" si="6"/>
        <v>#N/A</v>
      </c>
      <c r="AF60" s="446" t="e">
        <f t="shared" si="7"/>
        <v>#N/A</v>
      </c>
      <c r="AG60" s="436">
        <v>0</v>
      </c>
      <c r="AH60" s="447">
        <f t="shared" si="8"/>
        <v>0</v>
      </c>
      <c r="AI60" s="436">
        <v>0</v>
      </c>
      <c r="AJ60" s="448">
        <f t="shared" si="9"/>
        <v>0</v>
      </c>
      <c r="AL60" s="435" t="str">
        <f t="shared" si="37"/>
        <v/>
      </c>
      <c r="AM60" s="436">
        <f t="shared" si="38"/>
        <v>59</v>
      </c>
      <c r="AN60" s="437">
        <f>rents!Q64</f>
        <v>0</v>
      </c>
      <c r="AO60" s="438">
        <v>1</v>
      </c>
      <c r="AP60" s="438">
        <v>1</v>
      </c>
      <c r="AQ60" s="439">
        <f t="shared" si="39"/>
        <v>1</v>
      </c>
      <c r="AR60" s="440">
        <f>rents!R64</f>
        <v>0</v>
      </c>
      <c r="AS60" s="441">
        <f t="shared" si="10"/>
        <v>0</v>
      </c>
      <c r="AT60" s="442" t="e" cm="1">
        <f t="array" ref="AT60">CONCATENATE(_xlfn.IFS(rents!C64=1,"HTF",rents!D64=1,"HOME",rents!E64=1,"Lead Paint",rents!F64=1,"Project Based Assistance",rents!G64=1,"Tax Credit",rents!H64=1,"VHCB",rents!I64=1,"ADA Mobility",rents!J64=1,"ADA A/V",rents!K64=1, "Adaptable",rents!L64=1,"General",rents!M64=1,"Age Restricted",rents!N64=1,rents!$N$4,rents!O64=1,rents!$O$4,rents!P64=1,"Unrestricted"), ", ",
_xlfn.IFS(rents!V64=1,"30% AMI",rents!W64=1,"40% AMI",rents!X64=1,"50% AMI",rents!Y64=1,"60% AMI",rents!Z64=1,"70% AMI",rents!AA64=1,"80% AMI",rents!AB64=1,"100% AMI",rents!AC64=1,"Market Rate"))</f>
        <v>#N/A</v>
      </c>
      <c r="AU60" s="443" t="e">
        <f t="shared" si="40"/>
        <v>#N/A</v>
      </c>
      <c r="AV60" s="444">
        <f>rents!U64</f>
        <v>0</v>
      </c>
      <c r="AW60" s="445">
        <f>rents!T64</f>
        <v>0</v>
      </c>
      <c r="AX60" s="446">
        <f t="shared" si="11"/>
        <v>0</v>
      </c>
      <c r="AY60" s="446">
        <f t="shared" si="12"/>
        <v>0</v>
      </c>
      <c r="AZ60" s="436">
        <v>49</v>
      </c>
      <c r="BA60" s="447">
        <f t="shared" si="13"/>
        <v>1</v>
      </c>
      <c r="BB60" s="436">
        <v>49</v>
      </c>
      <c r="BC60" s="448">
        <f t="shared" si="14"/>
        <v>1</v>
      </c>
    </row>
    <row r="61" spans="11:55" ht="14.25" customHeight="1">
      <c r="K61" s="434" t="str">
        <f t="shared" si="25"/>
        <v/>
      </c>
      <c r="S61" s="435"/>
      <c r="T61" s="436">
        <f t="shared" si="33"/>
        <v>60</v>
      </c>
      <c r="U61" s="437" t="e">
        <f t="shared" si="41"/>
        <v>#N/A</v>
      </c>
      <c r="V61" s="438">
        <f t="shared" si="42"/>
        <v>0</v>
      </c>
      <c r="W61" s="438">
        <v>1</v>
      </c>
      <c r="X61" s="439" t="e">
        <f t="shared" si="34"/>
        <v>#N/A</v>
      </c>
      <c r="Y61" s="440" t="e">
        <f t="shared" si="43"/>
        <v>#N/A</v>
      </c>
      <c r="Z61" s="441" t="e">
        <f t="shared" si="3"/>
        <v>#N/A</v>
      </c>
      <c r="AA61" s="442" t="str">
        <f t="shared" si="35"/>
        <v/>
      </c>
      <c r="AB61" s="443" t="str">
        <f t="shared" si="36"/>
        <v/>
      </c>
      <c r="AC61" s="444" t="e">
        <f t="shared" si="44"/>
        <v>#N/A</v>
      </c>
      <c r="AD61" s="445" t="e">
        <f t="shared" si="45"/>
        <v>#N/A</v>
      </c>
      <c r="AE61" s="446" t="e">
        <f t="shared" si="6"/>
        <v>#N/A</v>
      </c>
      <c r="AF61" s="446" t="e">
        <f t="shared" si="7"/>
        <v>#N/A</v>
      </c>
      <c r="AG61" s="436">
        <v>0</v>
      </c>
      <c r="AH61" s="447">
        <f t="shared" si="8"/>
        <v>0</v>
      </c>
      <c r="AI61" s="436">
        <v>0</v>
      </c>
      <c r="AJ61" s="448">
        <f t="shared" si="9"/>
        <v>0</v>
      </c>
      <c r="AL61" s="435" t="str">
        <f t="shared" si="37"/>
        <v/>
      </c>
      <c r="AM61" s="436">
        <f t="shared" si="38"/>
        <v>60</v>
      </c>
      <c r="AN61" s="437">
        <f>rents!Q65</f>
        <v>0</v>
      </c>
      <c r="AO61" s="438">
        <v>1</v>
      </c>
      <c r="AP61" s="438">
        <v>1</v>
      </c>
      <c r="AQ61" s="439">
        <f t="shared" si="39"/>
        <v>1</v>
      </c>
      <c r="AR61" s="440">
        <f>rents!R65</f>
        <v>0</v>
      </c>
      <c r="AS61" s="441">
        <f t="shared" si="10"/>
        <v>0</v>
      </c>
      <c r="AT61" s="442" t="e" cm="1">
        <f t="array" ref="AT61">CONCATENATE(_xlfn.IFS(rents!C65=1,"HTF",rents!D65=1,"HOME",rents!E65=1,"Lead Paint",rents!F65=1,"Project Based Assistance",rents!G65=1,"Tax Credit",rents!H65=1,"VHCB",rents!I65=1,"ADA Mobility",rents!J65=1,"ADA A/V",rents!K65=1, "Adaptable",rents!L65=1,"General",rents!M65=1,"Age Restricted",rents!N65=1,rents!$N$4,rents!O65=1,rents!$O$4,rents!P65=1,"Unrestricted"), ", ",
_xlfn.IFS(rents!V65=1,"30% AMI",rents!W65=1,"40% AMI",rents!X65=1,"50% AMI",rents!Y65=1,"60% AMI",rents!Z65=1,"70% AMI",rents!AA65=1,"80% AMI",rents!AB65=1,"100% AMI",rents!AC65=1,"Market Rate"))</f>
        <v>#N/A</v>
      </c>
      <c r="AU61" s="443" t="e">
        <f t="shared" si="40"/>
        <v>#N/A</v>
      </c>
      <c r="AV61" s="444">
        <f>rents!U65</f>
        <v>0</v>
      </c>
      <c r="AW61" s="445">
        <f>rents!T65</f>
        <v>0</v>
      </c>
      <c r="AX61" s="446">
        <f t="shared" si="11"/>
        <v>0</v>
      </c>
      <c r="AY61" s="446">
        <f t="shared" si="12"/>
        <v>0</v>
      </c>
      <c r="AZ61" s="436">
        <v>50</v>
      </c>
      <c r="BA61" s="447">
        <f t="shared" si="13"/>
        <v>1</v>
      </c>
      <c r="BB61" s="436">
        <v>50</v>
      </c>
      <c r="BC61" s="448">
        <f t="shared" si="14"/>
        <v>1</v>
      </c>
    </row>
    <row r="62" spans="11:55" ht="14.25" customHeight="1">
      <c r="K62" s="434" t="str">
        <f t="shared" si="25"/>
        <v/>
      </c>
      <c r="S62" s="435"/>
      <c r="T62" s="436">
        <f t="shared" si="33"/>
        <v>61</v>
      </c>
      <c r="U62" s="437" t="e">
        <f t="shared" si="41"/>
        <v>#N/A</v>
      </c>
      <c r="V62" s="438">
        <f t="shared" si="42"/>
        <v>0</v>
      </c>
      <c r="W62" s="438">
        <v>1</v>
      </c>
      <c r="X62" s="439" t="e">
        <f t="shared" si="34"/>
        <v>#N/A</v>
      </c>
      <c r="Y62" s="440" t="e">
        <f t="shared" si="43"/>
        <v>#N/A</v>
      </c>
      <c r="Z62" s="441" t="e">
        <f t="shared" si="3"/>
        <v>#N/A</v>
      </c>
      <c r="AA62" s="442" t="str">
        <f t="shared" si="35"/>
        <v/>
      </c>
      <c r="AB62" s="443" t="str">
        <f t="shared" si="36"/>
        <v/>
      </c>
      <c r="AC62" s="444" t="e">
        <f t="shared" si="44"/>
        <v>#N/A</v>
      </c>
      <c r="AD62" s="445" t="e">
        <f t="shared" si="45"/>
        <v>#N/A</v>
      </c>
      <c r="AE62" s="446" t="e">
        <f t="shared" si="6"/>
        <v>#N/A</v>
      </c>
      <c r="AF62" s="446" t="e">
        <f t="shared" si="7"/>
        <v>#N/A</v>
      </c>
      <c r="AG62" s="436">
        <v>0</v>
      </c>
      <c r="AH62" s="447">
        <f t="shared" si="8"/>
        <v>0</v>
      </c>
      <c r="AI62" s="436">
        <v>0</v>
      </c>
      <c r="AJ62" s="448">
        <f t="shared" si="9"/>
        <v>0</v>
      </c>
      <c r="AL62" s="435" t="str">
        <f t="shared" si="37"/>
        <v/>
      </c>
      <c r="AM62" s="436">
        <f t="shared" si="38"/>
        <v>61</v>
      </c>
      <c r="AN62" s="437">
        <f>rents!Q66</f>
        <v>0</v>
      </c>
      <c r="AO62" s="438">
        <v>1</v>
      </c>
      <c r="AP62" s="438">
        <v>1</v>
      </c>
      <c r="AQ62" s="439">
        <f t="shared" si="39"/>
        <v>1</v>
      </c>
      <c r="AR62" s="440">
        <f>rents!R66</f>
        <v>0</v>
      </c>
      <c r="AS62" s="441">
        <f t="shared" si="10"/>
        <v>0</v>
      </c>
      <c r="AT62" s="442" t="e" cm="1">
        <f t="array" ref="AT62">CONCATENATE(_xlfn.IFS(rents!C66=1,"HTF",rents!D66=1,"HOME",rents!E66=1,"Lead Paint",rents!F66=1,"Project Based Assistance",rents!G66=1,"Tax Credit",rents!H66=1,"VHCB",rents!I66=1,"ADA Mobility",rents!J66=1,"ADA A/V",rents!K66=1, "Adaptable",rents!L66=1,"General",rents!M66=1,"Age Restricted",rents!N66=1,rents!$N$4,rents!O66=1,rents!$O$4,rents!P66=1,"Unrestricted"), ", ",
_xlfn.IFS(rents!V66=1,"30% AMI",rents!W66=1,"40% AMI",rents!X66=1,"50% AMI",rents!Y66=1,"60% AMI",rents!Z66=1,"70% AMI",rents!AA66=1,"80% AMI",rents!AB66=1,"100% AMI",rents!AC66=1,"Market Rate"))</f>
        <v>#N/A</v>
      </c>
      <c r="AU62" s="443" t="e">
        <f t="shared" si="40"/>
        <v>#N/A</v>
      </c>
      <c r="AV62" s="444">
        <f>rents!U66</f>
        <v>0</v>
      </c>
      <c r="AW62" s="445">
        <f>rents!T66</f>
        <v>0</v>
      </c>
      <c r="AX62" s="446">
        <f t="shared" si="11"/>
        <v>0</v>
      </c>
      <c r="AY62" s="446">
        <f t="shared" si="12"/>
        <v>0</v>
      </c>
      <c r="AZ62" s="436">
        <v>51</v>
      </c>
      <c r="BA62" s="447">
        <f t="shared" si="13"/>
        <v>1</v>
      </c>
      <c r="BB62" s="436">
        <v>51</v>
      </c>
      <c r="BC62" s="448">
        <f t="shared" si="14"/>
        <v>1</v>
      </c>
    </row>
    <row r="63" spans="11:55" ht="14.25" customHeight="1">
      <c r="K63" s="434" t="str">
        <f t="shared" si="25"/>
        <v/>
      </c>
      <c r="S63" s="435"/>
      <c r="T63" s="436">
        <f t="shared" si="33"/>
        <v>62</v>
      </c>
      <c r="U63" s="437" t="e">
        <f t="shared" si="41"/>
        <v>#N/A</v>
      </c>
      <c r="V63" s="438">
        <f t="shared" si="42"/>
        <v>0</v>
      </c>
      <c r="W63" s="438">
        <v>1</v>
      </c>
      <c r="X63" s="439" t="e">
        <f t="shared" si="34"/>
        <v>#N/A</v>
      </c>
      <c r="Y63" s="440" t="e">
        <f t="shared" si="43"/>
        <v>#N/A</v>
      </c>
      <c r="Z63" s="441" t="e">
        <f t="shared" si="3"/>
        <v>#N/A</v>
      </c>
      <c r="AA63" s="442" t="str">
        <f t="shared" si="35"/>
        <v/>
      </c>
      <c r="AB63" s="443" t="str">
        <f t="shared" si="36"/>
        <v/>
      </c>
      <c r="AC63" s="444" t="e">
        <f t="shared" si="44"/>
        <v>#N/A</v>
      </c>
      <c r="AD63" s="445" t="e">
        <f t="shared" si="45"/>
        <v>#N/A</v>
      </c>
      <c r="AE63" s="446" t="e">
        <f t="shared" si="6"/>
        <v>#N/A</v>
      </c>
      <c r="AF63" s="446" t="e">
        <f t="shared" si="7"/>
        <v>#N/A</v>
      </c>
      <c r="AG63" s="436">
        <v>0</v>
      </c>
      <c r="AH63" s="447">
        <f t="shared" si="8"/>
        <v>0</v>
      </c>
      <c r="AI63" s="436">
        <v>0</v>
      </c>
      <c r="AJ63" s="448">
        <f t="shared" si="9"/>
        <v>0</v>
      </c>
      <c r="AL63" s="435" t="str">
        <f t="shared" si="37"/>
        <v/>
      </c>
      <c r="AM63" s="436">
        <f t="shared" si="38"/>
        <v>62</v>
      </c>
      <c r="AN63" s="437">
        <f>rents!Q67</f>
        <v>0</v>
      </c>
      <c r="AO63" s="438">
        <v>1</v>
      </c>
      <c r="AP63" s="438">
        <v>1</v>
      </c>
      <c r="AQ63" s="439">
        <f t="shared" si="39"/>
        <v>1</v>
      </c>
      <c r="AR63" s="440">
        <f>rents!R67</f>
        <v>0</v>
      </c>
      <c r="AS63" s="441">
        <f t="shared" si="10"/>
        <v>0</v>
      </c>
      <c r="AT63" s="442" t="e" cm="1">
        <f t="array" ref="AT63">CONCATENATE(_xlfn.IFS(rents!C67=1,"HTF",rents!D67=1,"HOME",rents!E67=1,"Lead Paint",rents!F67=1,"Project Based Assistance",rents!G67=1,"Tax Credit",rents!H67=1,"VHCB",rents!I67=1,"ADA Mobility",rents!J67=1,"ADA A/V",rents!K67=1, "Adaptable",rents!L67=1,"General",rents!M67=1,"Age Restricted",rents!N67=1,rents!$N$4,rents!O67=1,rents!$O$4,rents!P67=1,"Unrestricted"), ", ",
_xlfn.IFS(rents!V67=1,"30% AMI",rents!W67=1,"40% AMI",rents!X67=1,"50% AMI",rents!Y67=1,"60% AMI",rents!Z67=1,"70% AMI",rents!AA67=1,"80% AMI",rents!AB67=1,"100% AMI",rents!AC67=1,"Market Rate"))</f>
        <v>#N/A</v>
      </c>
      <c r="AU63" s="443" t="e">
        <f t="shared" si="40"/>
        <v>#N/A</v>
      </c>
      <c r="AV63" s="444">
        <f>rents!U67</f>
        <v>0</v>
      </c>
      <c r="AW63" s="445">
        <f>rents!T67</f>
        <v>0</v>
      </c>
      <c r="AX63" s="446">
        <f t="shared" si="11"/>
        <v>0</v>
      </c>
      <c r="AY63" s="446">
        <f t="shared" si="12"/>
        <v>0</v>
      </c>
      <c r="AZ63" s="436">
        <v>52</v>
      </c>
      <c r="BA63" s="447">
        <f t="shared" si="13"/>
        <v>1</v>
      </c>
      <c r="BB63" s="436">
        <v>52</v>
      </c>
      <c r="BC63" s="448">
        <f t="shared" si="14"/>
        <v>1</v>
      </c>
    </row>
    <row r="64" spans="11:55" ht="14.25" customHeight="1">
      <c r="K64" s="434" t="str">
        <f t="shared" si="25"/>
        <v/>
      </c>
      <c r="S64" s="435"/>
      <c r="T64" s="436">
        <f t="shared" si="33"/>
        <v>63</v>
      </c>
      <c r="U64" s="437" t="e">
        <f t="shared" si="41"/>
        <v>#N/A</v>
      </c>
      <c r="V64" s="438">
        <f t="shared" si="42"/>
        <v>0</v>
      </c>
      <c r="W64" s="438">
        <v>1</v>
      </c>
      <c r="X64" s="439" t="e">
        <f t="shared" si="34"/>
        <v>#N/A</v>
      </c>
      <c r="Y64" s="440" t="e">
        <f t="shared" si="43"/>
        <v>#N/A</v>
      </c>
      <c r="Z64" s="441" t="e">
        <f t="shared" si="3"/>
        <v>#N/A</v>
      </c>
      <c r="AA64" s="442" t="str">
        <f t="shared" si="35"/>
        <v/>
      </c>
      <c r="AB64" s="443" t="str">
        <f t="shared" si="36"/>
        <v/>
      </c>
      <c r="AC64" s="444" t="e">
        <f t="shared" si="44"/>
        <v>#N/A</v>
      </c>
      <c r="AD64" s="445" t="e">
        <f t="shared" si="45"/>
        <v>#N/A</v>
      </c>
      <c r="AE64" s="446" t="e">
        <f t="shared" si="6"/>
        <v>#N/A</v>
      </c>
      <c r="AF64" s="446" t="e">
        <f t="shared" si="7"/>
        <v>#N/A</v>
      </c>
      <c r="AG64" s="436">
        <v>0</v>
      </c>
      <c r="AH64" s="447">
        <f t="shared" si="8"/>
        <v>0</v>
      </c>
      <c r="AI64" s="436">
        <v>0</v>
      </c>
      <c r="AJ64" s="448">
        <f t="shared" si="9"/>
        <v>0</v>
      </c>
      <c r="AL64" s="435" t="str">
        <f t="shared" si="37"/>
        <v/>
      </c>
      <c r="AM64" s="436">
        <f t="shared" si="38"/>
        <v>63</v>
      </c>
      <c r="AN64" s="437">
        <f>rents!Q68</f>
        <v>0</v>
      </c>
      <c r="AO64" s="438">
        <v>1</v>
      </c>
      <c r="AP64" s="438">
        <v>1</v>
      </c>
      <c r="AQ64" s="439">
        <f t="shared" si="39"/>
        <v>1</v>
      </c>
      <c r="AR64" s="440">
        <f>rents!R68</f>
        <v>0</v>
      </c>
      <c r="AS64" s="441">
        <f t="shared" si="10"/>
        <v>0</v>
      </c>
      <c r="AT64" s="442" t="e" cm="1">
        <f t="array" ref="AT64">CONCATENATE(_xlfn.IFS(rents!C68=1,"HTF",rents!D68=1,"HOME",rents!E68=1,"Lead Paint",rents!F68=1,"Project Based Assistance",rents!G68=1,"Tax Credit",rents!H68=1,"VHCB",rents!I68=1,"ADA Mobility",rents!J68=1,"ADA A/V",rents!K68=1, "Adaptable",rents!L68=1,"General",rents!M68=1,"Age Restricted",rents!N68=1,rents!$N$4,rents!O68=1,rents!$O$4,rents!P68=1,"Unrestricted"), ", ",
_xlfn.IFS(rents!V68=1,"30% AMI",rents!W68=1,"40% AMI",rents!X68=1,"50% AMI",rents!Y68=1,"60% AMI",rents!Z68=1,"70% AMI",rents!AA68=1,"80% AMI",rents!AB68=1,"100% AMI",rents!AC68=1,"Market Rate"))</f>
        <v>#N/A</v>
      </c>
      <c r="AU64" s="443" t="e">
        <f t="shared" si="40"/>
        <v>#N/A</v>
      </c>
      <c r="AV64" s="444">
        <f>rents!U68</f>
        <v>0</v>
      </c>
      <c r="AW64" s="445">
        <f>rents!T68</f>
        <v>0</v>
      </c>
      <c r="AX64" s="446">
        <f t="shared" si="11"/>
        <v>0</v>
      </c>
      <c r="AY64" s="446">
        <f t="shared" si="12"/>
        <v>0</v>
      </c>
      <c r="AZ64" s="436">
        <v>53</v>
      </c>
      <c r="BA64" s="447">
        <f t="shared" si="13"/>
        <v>1</v>
      </c>
      <c r="BB64" s="436">
        <v>53</v>
      </c>
      <c r="BC64" s="448">
        <f t="shared" si="14"/>
        <v>1</v>
      </c>
    </row>
    <row r="65" spans="11:55" ht="14.25" customHeight="1">
      <c r="K65" s="434" t="str">
        <f t="shared" si="25"/>
        <v/>
      </c>
      <c r="S65" s="435"/>
      <c r="T65" s="436">
        <f t="shared" si="33"/>
        <v>64</v>
      </c>
      <c r="U65" s="437" t="e">
        <f t="shared" si="41"/>
        <v>#N/A</v>
      </c>
      <c r="V65" s="438">
        <f t="shared" si="42"/>
        <v>0</v>
      </c>
      <c r="W65" s="438">
        <v>1</v>
      </c>
      <c r="X65" s="439" t="e">
        <f t="shared" si="34"/>
        <v>#N/A</v>
      </c>
      <c r="Y65" s="440" t="e">
        <f t="shared" si="43"/>
        <v>#N/A</v>
      </c>
      <c r="Z65" s="441" t="e">
        <f t="shared" si="3"/>
        <v>#N/A</v>
      </c>
      <c r="AA65" s="442" t="str">
        <f t="shared" si="35"/>
        <v/>
      </c>
      <c r="AB65" s="443" t="str">
        <f t="shared" si="36"/>
        <v/>
      </c>
      <c r="AC65" s="444" t="e">
        <f t="shared" si="44"/>
        <v>#N/A</v>
      </c>
      <c r="AD65" s="445" t="e">
        <f t="shared" si="45"/>
        <v>#N/A</v>
      </c>
      <c r="AE65" s="446" t="e">
        <f t="shared" si="6"/>
        <v>#N/A</v>
      </c>
      <c r="AF65" s="446" t="e">
        <f t="shared" si="7"/>
        <v>#N/A</v>
      </c>
      <c r="AG65" s="436">
        <v>0</v>
      </c>
      <c r="AH65" s="447">
        <f t="shared" si="8"/>
        <v>0</v>
      </c>
      <c r="AI65" s="436">
        <v>0</v>
      </c>
      <c r="AJ65" s="448">
        <f t="shared" si="9"/>
        <v>0</v>
      </c>
      <c r="AL65" s="435" t="str">
        <f t="shared" si="37"/>
        <v/>
      </c>
      <c r="AM65" s="436">
        <f t="shared" si="38"/>
        <v>64</v>
      </c>
      <c r="AN65" s="437">
        <f>rents!Q69</f>
        <v>0</v>
      </c>
      <c r="AO65" s="438">
        <v>1</v>
      </c>
      <c r="AP65" s="438">
        <v>1</v>
      </c>
      <c r="AQ65" s="439">
        <f t="shared" si="39"/>
        <v>1</v>
      </c>
      <c r="AR65" s="440">
        <f>rents!R69</f>
        <v>0</v>
      </c>
      <c r="AS65" s="441">
        <f t="shared" si="10"/>
        <v>0</v>
      </c>
      <c r="AT65" s="442" t="e" cm="1">
        <f t="array" ref="AT65">CONCATENATE(_xlfn.IFS(rents!C69=1,"HTF",rents!D69=1,"HOME",rents!E69=1,"Lead Paint",rents!F69=1,"Project Based Assistance",rents!G69=1,"Tax Credit",rents!H69=1,"VHCB",rents!I69=1,"ADA Mobility",rents!J69=1,"ADA A/V",rents!K69=1, "Adaptable",rents!L69=1,"General",rents!M69=1,"Age Restricted",rents!N69=1,rents!$N$4,rents!O69=1,rents!$O$4,rents!P69=1,"Unrestricted"), ", ",
_xlfn.IFS(rents!V69=1,"30% AMI",rents!W69=1,"40% AMI",rents!X69=1,"50% AMI",rents!Y69=1,"60% AMI",rents!Z69=1,"70% AMI",rents!AA69=1,"80% AMI",rents!AB69=1,"100% AMI",rents!AC69=1,"Market Rate"))</f>
        <v>#N/A</v>
      </c>
      <c r="AU65" s="443" t="e">
        <f t="shared" si="40"/>
        <v>#N/A</v>
      </c>
      <c r="AV65" s="444">
        <f>rents!U69</f>
        <v>0</v>
      </c>
      <c r="AW65" s="445">
        <f>rents!T69</f>
        <v>0</v>
      </c>
      <c r="AX65" s="446">
        <f t="shared" si="11"/>
        <v>0</v>
      </c>
      <c r="AY65" s="446">
        <f t="shared" si="12"/>
        <v>0</v>
      </c>
      <c r="AZ65" s="436">
        <v>54</v>
      </c>
      <c r="BA65" s="447">
        <f t="shared" si="13"/>
        <v>1</v>
      </c>
      <c r="BB65" s="436">
        <v>54</v>
      </c>
      <c r="BC65" s="448">
        <f t="shared" si="14"/>
        <v>1</v>
      </c>
    </row>
    <row r="66" spans="11:55" ht="14.25" customHeight="1">
      <c r="K66" s="434" t="str">
        <f t="shared" si="25"/>
        <v/>
      </c>
      <c r="S66" s="435"/>
      <c r="T66" s="436">
        <f t="shared" si="33"/>
        <v>65</v>
      </c>
      <c r="U66" s="437" t="e">
        <f t="shared" ref="U66:U96" si="46">VLOOKUP(S66,$AL$1:$BC$96,3,FALSE)</f>
        <v>#N/A</v>
      </c>
      <c r="V66" s="438">
        <f t="shared" ref="V66:V96" si="47">IF(S66="",0,SUMIFS($AO$2:$AO$96,$AL$2:$AL$96,S66))</f>
        <v>0</v>
      </c>
      <c r="W66" s="438">
        <v>1</v>
      </c>
      <c r="X66" s="439" t="e">
        <f t="shared" si="34"/>
        <v>#N/A</v>
      </c>
      <c r="Y66" s="440" t="e">
        <f t="shared" ref="Y66:Y96" si="48">VLOOKUP(S66,$AL$1:$BC$96,7,FALSE)</f>
        <v>#N/A</v>
      </c>
      <c r="Z66" s="441" t="e">
        <f t="shared" ref="Z66:Z96" si="49">V66*Y66</f>
        <v>#N/A</v>
      </c>
      <c r="AA66" s="442" t="str">
        <f t="shared" si="35"/>
        <v/>
      </c>
      <c r="AB66" s="443" t="str">
        <f t="shared" si="36"/>
        <v/>
      </c>
      <c r="AC66" s="444" t="e">
        <f t="shared" ref="AC66:AC96" si="50">VLOOKUP(S66,$AL$1:$BC$96,11,FALSE)</f>
        <v>#N/A</v>
      </c>
      <c r="AD66" s="445" t="e">
        <f t="shared" ref="AD66:AD96" si="51">VLOOKUP(S66,$AL$1:$BC$96,12,FALSE)</f>
        <v>#N/A</v>
      </c>
      <c r="AE66" s="446" t="e">
        <f t="shared" ref="AE66:AE96" si="52">AC66-AD66</f>
        <v>#N/A</v>
      </c>
      <c r="AF66" s="446" t="e">
        <f t="shared" ref="AF66:AF96" si="53">AE66*V66*12</f>
        <v>#N/A</v>
      </c>
      <c r="AG66" s="436">
        <v>0</v>
      </c>
      <c r="AH66" s="447">
        <f t="shared" ref="AH66:AH96" si="54">IF(AG66&gt;0, (AG66-AE66)/AG66, 0)</f>
        <v>0</v>
      </c>
      <c r="AI66" s="436">
        <v>0</v>
      </c>
      <c r="AJ66" s="448">
        <f t="shared" ref="AJ66:AJ96" si="55">IF(AI66&gt;0, (AI66-AE66)/AI66, 0)</f>
        <v>0</v>
      </c>
      <c r="AL66" s="435" t="str">
        <f t="shared" si="37"/>
        <v/>
      </c>
      <c r="AM66" s="436">
        <f t="shared" si="38"/>
        <v>65</v>
      </c>
      <c r="AN66" s="437">
        <f>rents!Q70</f>
        <v>0</v>
      </c>
      <c r="AO66" s="438">
        <v>1</v>
      </c>
      <c r="AP66" s="438">
        <v>1</v>
      </c>
      <c r="AQ66" s="439">
        <f t="shared" si="39"/>
        <v>1</v>
      </c>
      <c r="AR66" s="440">
        <f>rents!R70</f>
        <v>0</v>
      </c>
      <c r="AS66" s="441">
        <f t="shared" ref="AS66:AS96" si="56">AO66*AR66</f>
        <v>0</v>
      </c>
      <c r="AT66" s="442" t="e" cm="1">
        <f t="array" ref="AT66">CONCATENATE(_xlfn.IFS(rents!C70=1,"HTF",rents!D70=1,"HOME",rents!E70=1,"Lead Paint",rents!F70=1,"Project Based Assistance",rents!G70=1,"Tax Credit",rents!H70=1,"VHCB",rents!I70=1,"ADA Mobility",rents!J70=1,"ADA A/V",rents!K70=1, "Adaptable",rents!L70=1,"General",rents!M70=1,"Age Restricted",rents!N70=1,rents!$N$4,rents!O70=1,rents!$O$4,rents!P70=1,"Unrestricted"), ", ",
_xlfn.IFS(rents!V70=1,"30% AMI",rents!W70=1,"40% AMI",rents!X70=1,"50% AMI",rents!Y70=1,"60% AMI",rents!Z70=1,"70% AMI",rents!AA70=1,"80% AMI",rents!AB70=1,"100% AMI",rents!AC70=1,"Market Rate"))</f>
        <v>#N/A</v>
      </c>
      <c r="AU66" s="443" t="e">
        <f t="shared" si="40"/>
        <v>#N/A</v>
      </c>
      <c r="AV66" s="444">
        <f>rents!U70</f>
        <v>0</v>
      </c>
      <c r="AW66" s="445">
        <f>rents!T70</f>
        <v>0</v>
      </c>
      <c r="AX66" s="446">
        <f t="shared" ref="AX66:AX96" si="57">AV66-AW66</f>
        <v>0</v>
      </c>
      <c r="AY66" s="446">
        <f t="shared" ref="AY66:AY96" si="58">AX66*AO66*12</f>
        <v>0</v>
      </c>
      <c r="AZ66" s="436">
        <v>55</v>
      </c>
      <c r="BA66" s="447">
        <f t="shared" ref="BA66:BA96" si="59">IF(AZ66&gt;0, (AZ66-AX66)/AZ66, 0)</f>
        <v>1</v>
      </c>
      <c r="BB66" s="436">
        <v>55</v>
      </c>
      <c r="BC66" s="448">
        <f t="shared" ref="BC66:BC96" si="60">IF(BB66&gt;0, (BB66-AX66)/BB66, 0)</f>
        <v>1</v>
      </c>
    </row>
    <row r="67" spans="11:55" ht="14.25" customHeight="1">
      <c r="K67" s="434" t="str">
        <f t="shared" ref="K67:K130" si="61">IF(V67&gt;0,AC67, "")</f>
        <v/>
      </c>
      <c r="S67" s="435"/>
      <c r="T67" s="436">
        <f t="shared" ref="T67:T96" si="62">T66+1</f>
        <v>66</v>
      </c>
      <c r="U67" s="437" t="e">
        <f t="shared" si="46"/>
        <v>#N/A</v>
      </c>
      <c r="V67" s="438">
        <f t="shared" si="47"/>
        <v>0</v>
      </c>
      <c r="W67" s="438">
        <v>1</v>
      </c>
      <c r="X67" s="439" t="e">
        <f t="shared" ref="X67:X96" si="63">U67+W67</f>
        <v>#N/A</v>
      </c>
      <c r="Y67" s="440" t="e">
        <f t="shared" si="48"/>
        <v>#N/A</v>
      </c>
      <c r="Z67" s="441" t="e">
        <f t="shared" si="49"/>
        <v>#N/A</v>
      </c>
      <c r="AA67" s="442" t="str">
        <f t="shared" ref="AA67:AA96" si="64">IFERROR(IF(S67="Mgr. Unit", "Super's Unit",VLOOKUP(S67,$AL$1:$BC$96,9,FALSE)),"")</f>
        <v/>
      </c>
      <c r="AB67" s="443" t="str">
        <f t="shared" ref="AB67:AB96" si="65">AA67</f>
        <v/>
      </c>
      <c r="AC67" s="444" t="e">
        <f t="shared" si="50"/>
        <v>#N/A</v>
      </c>
      <c r="AD67" s="445" t="e">
        <f t="shared" si="51"/>
        <v>#N/A</v>
      </c>
      <c r="AE67" s="446" t="e">
        <f t="shared" si="52"/>
        <v>#N/A</v>
      </c>
      <c r="AF67" s="446" t="e">
        <f t="shared" si="53"/>
        <v>#N/A</v>
      </c>
      <c r="AG67" s="436">
        <v>0</v>
      </c>
      <c r="AH67" s="447">
        <f t="shared" si="54"/>
        <v>0</v>
      </c>
      <c r="AI67" s="436">
        <v>0</v>
      </c>
      <c r="AJ67" s="448">
        <f t="shared" si="55"/>
        <v>0</v>
      </c>
      <c r="AL67" s="435" t="str">
        <f t="shared" ref="AL67:AL95" si="66">IFERROR(_xlfn.CONCAT(AN67," Bedroom - ",TEXT(AT67,"0%")),"")</f>
        <v/>
      </c>
      <c r="AM67" s="436">
        <f t="shared" ref="AM67:AM96" si="67">AM66+1</f>
        <v>66</v>
      </c>
      <c r="AN67" s="437">
        <f>rents!Q71</f>
        <v>0</v>
      </c>
      <c r="AO67" s="438">
        <v>1</v>
      </c>
      <c r="AP67" s="438">
        <v>1</v>
      </c>
      <c r="AQ67" s="439">
        <f t="shared" ref="AQ67:AQ96" si="68">AN67+AP67</f>
        <v>1</v>
      </c>
      <c r="AR67" s="440">
        <f>rents!R71</f>
        <v>0</v>
      </c>
      <c r="AS67" s="441">
        <f t="shared" si="56"/>
        <v>0</v>
      </c>
      <c r="AT67" s="442" t="e" cm="1">
        <f t="array" ref="AT67">CONCATENATE(_xlfn.IFS(rents!C71=1,"HTF",rents!D71=1,"HOME",rents!E71=1,"Lead Paint",rents!F71=1,"Project Based Assistance",rents!G71=1,"Tax Credit",rents!H71=1,"VHCB",rents!I71=1,"ADA Mobility",rents!J71=1,"ADA A/V",rents!K71=1, "Adaptable",rents!L71=1,"General",rents!M71=1,"Age Restricted",rents!N71=1,rents!$N$4,rents!O71=1,rents!$O$4,rents!P71=1,"Unrestricted"), ", ",
_xlfn.IFS(rents!V71=1,"30% AMI",rents!W71=1,"40% AMI",rents!X71=1,"50% AMI",rents!Y71=1,"60% AMI",rents!Z71=1,"70% AMI",rents!AA71=1,"80% AMI",rents!AB71=1,"100% AMI",rents!AC71=1,"Market Rate"))</f>
        <v>#N/A</v>
      </c>
      <c r="AU67" s="443" t="e">
        <f t="shared" ref="AU67:AU96" si="69">AT67</f>
        <v>#N/A</v>
      </c>
      <c r="AV67" s="444">
        <f>rents!U71</f>
        <v>0</v>
      </c>
      <c r="AW67" s="445">
        <f>rents!T71</f>
        <v>0</v>
      </c>
      <c r="AX67" s="446">
        <f t="shared" si="57"/>
        <v>0</v>
      </c>
      <c r="AY67" s="446">
        <f t="shared" si="58"/>
        <v>0</v>
      </c>
      <c r="AZ67" s="436">
        <v>56</v>
      </c>
      <c r="BA67" s="447">
        <f t="shared" si="59"/>
        <v>1</v>
      </c>
      <c r="BB67" s="436">
        <v>56</v>
      </c>
      <c r="BC67" s="448">
        <f t="shared" si="60"/>
        <v>1</v>
      </c>
    </row>
    <row r="68" spans="11:55" ht="14.25" customHeight="1">
      <c r="K68" s="434" t="str">
        <f t="shared" si="61"/>
        <v/>
      </c>
      <c r="S68" s="435"/>
      <c r="T68" s="436">
        <f t="shared" si="62"/>
        <v>67</v>
      </c>
      <c r="U68" s="437" t="e">
        <f t="shared" si="46"/>
        <v>#N/A</v>
      </c>
      <c r="V68" s="438">
        <f t="shared" si="47"/>
        <v>0</v>
      </c>
      <c r="W68" s="438">
        <v>1</v>
      </c>
      <c r="X68" s="439" t="e">
        <f t="shared" si="63"/>
        <v>#N/A</v>
      </c>
      <c r="Y68" s="440" t="e">
        <f t="shared" si="48"/>
        <v>#N/A</v>
      </c>
      <c r="Z68" s="441" t="e">
        <f t="shared" si="49"/>
        <v>#N/A</v>
      </c>
      <c r="AA68" s="442" t="str">
        <f t="shared" si="64"/>
        <v/>
      </c>
      <c r="AB68" s="443" t="str">
        <f t="shared" si="65"/>
        <v/>
      </c>
      <c r="AC68" s="444" t="e">
        <f t="shared" si="50"/>
        <v>#N/A</v>
      </c>
      <c r="AD68" s="445" t="e">
        <f t="shared" si="51"/>
        <v>#N/A</v>
      </c>
      <c r="AE68" s="446" t="e">
        <f t="shared" si="52"/>
        <v>#N/A</v>
      </c>
      <c r="AF68" s="446" t="e">
        <f t="shared" si="53"/>
        <v>#N/A</v>
      </c>
      <c r="AG68" s="436">
        <v>0</v>
      </c>
      <c r="AH68" s="447">
        <f t="shared" si="54"/>
        <v>0</v>
      </c>
      <c r="AI68" s="436">
        <v>0</v>
      </c>
      <c r="AJ68" s="448">
        <f t="shared" si="55"/>
        <v>0</v>
      </c>
      <c r="AL68" s="435" t="str">
        <f t="shared" si="66"/>
        <v/>
      </c>
      <c r="AM68" s="436">
        <f t="shared" si="67"/>
        <v>67</v>
      </c>
      <c r="AN68" s="437">
        <f>rents!Q72</f>
        <v>0</v>
      </c>
      <c r="AO68" s="438">
        <v>1</v>
      </c>
      <c r="AP68" s="438">
        <v>1</v>
      </c>
      <c r="AQ68" s="439">
        <f t="shared" si="68"/>
        <v>1</v>
      </c>
      <c r="AR68" s="440">
        <f>rents!R72</f>
        <v>0</v>
      </c>
      <c r="AS68" s="441">
        <f t="shared" si="56"/>
        <v>0</v>
      </c>
      <c r="AT68" s="442" t="e" cm="1">
        <f t="array" ref="AT68">CONCATENATE(_xlfn.IFS(rents!C72=1,"HTF",rents!D72=1,"HOME",rents!E72=1,"Lead Paint",rents!F72=1,"Project Based Assistance",rents!G72=1,"Tax Credit",rents!H72=1,"VHCB",rents!I72=1,"ADA Mobility",rents!J72=1,"ADA A/V",rents!K72=1, "Adaptable",rents!L72=1,"General",rents!M72=1,"Age Restricted",rents!N72=1,rents!$N$4,rents!O72=1,rents!$O$4,rents!P72=1,"Unrestricted"), ", ",
_xlfn.IFS(rents!V72=1,"30% AMI",rents!W72=1,"40% AMI",rents!X72=1,"50% AMI",rents!Y72=1,"60% AMI",rents!Z72=1,"70% AMI",rents!AA72=1,"80% AMI",rents!AB72=1,"100% AMI",rents!AC72=1,"Market Rate"))</f>
        <v>#N/A</v>
      </c>
      <c r="AU68" s="443" t="e">
        <f t="shared" si="69"/>
        <v>#N/A</v>
      </c>
      <c r="AV68" s="444">
        <f>rents!U72</f>
        <v>0</v>
      </c>
      <c r="AW68" s="445">
        <f>rents!T72</f>
        <v>0</v>
      </c>
      <c r="AX68" s="446">
        <f t="shared" si="57"/>
        <v>0</v>
      </c>
      <c r="AY68" s="446">
        <f t="shared" si="58"/>
        <v>0</v>
      </c>
      <c r="AZ68" s="436">
        <v>57</v>
      </c>
      <c r="BA68" s="447">
        <f t="shared" si="59"/>
        <v>1</v>
      </c>
      <c r="BB68" s="436">
        <v>57</v>
      </c>
      <c r="BC68" s="448">
        <f t="shared" si="60"/>
        <v>1</v>
      </c>
    </row>
    <row r="69" spans="11:55" ht="14.25" customHeight="1">
      <c r="K69" s="434" t="str">
        <f t="shared" si="61"/>
        <v/>
      </c>
      <c r="S69" s="435"/>
      <c r="T69" s="436">
        <f t="shared" si="62"/>
        <v>68</v>
      </c>
      <c r="U69" s="437" t="e">
        <f t="shared" si="46"/>
        <v>#N/A</v>
      </c>
      <c r="V69" s="438">
        <f t="shared" si="47"/>
        <v>0</v>
      </c>
      <c r="W69" s="438">
        <v>1</v>
      </c>
      <c r="X69" s="439" t="e">
        <f t="shared" si="63"/>
        <v>#N/A</v>
      </c>
      <c r="Y69" s="440" t="e">
        <f t="shared" si="48"/>
        <v>#N/A</v>
      </c>
      <c r="Z69" s="441" t="e">
        <f t="shared" si="49"/>
        <v>#N/A</v>
      </c>
      <c r="AA69" s="442" t="str">
        <f t="shared" si="64"/>
        <v/>
      </c>
      <c r="AB69" s="443" t="str">
        <f t="shared" si="65"/>
        <v/>
      </c>
      <c r="AC69" s="444" t="e">
        <f t="shared" si="50"/>
        <v>#N/A</v>
      </c>
      <c r="AD69" s="445" t="e">
        <f t="shared" si="51"/>
        <v>#N/A</v>
      </c>
      <c r="AE69" s="446" t="e">
        <f t="shared" si="52"/>
        <v>#N/A</v>
      </c>
      <c r="AF69" s="446" t="e">
        <f t="shared" si="53"/>
        <v>#N/A</v>
      </c>
      <c r="AG69" s="436">
        <v>0</v>
      </c>
      <c r="AH69" s="447">
        <f t="shared" si="54"/>
        <v>0</v>
      </c>
      <c r="AI69" s="436">
        <v>0</v>
      </c>
      <c r="AJ69" s="448">
        <f t="shared" si="55"/>
        <v>0</v>
      </c>
      <c r="AL69" s="435" t="str">
        <f t="shared" si="66"/>
        <v/>
      </c>
      <c r="AM69" s="436">
        <f t="shared" si="67"/>
        <v>68</v>
      </c>
      <c r="AN69" s="437">
        <f>rents!Q73</f>
        <v>0</v>
      </c>
      <c r="AO69" s="438">
        <v>1</v>
      </c>
      <c r="AP69" s="438">
        <v>1</v>
      </c>
      <c r="AQ69" s="439">
        <f t="shared" si="68"/>
        <v>1</v>
      </c>
      <c r="AR69" s="440">
        <f>rents!R73</f>
        <v>0</v>
      </c>
      <c r="AS69" s="441">
        <f t="shared" si="56"/>
        <v>0</v>
      </c>
      <c r="AT69" s="442" t="e" cm="1">
        <f t="array" ref="AT69">CONCATENATE(_xlfn.IFS(rents!C73=1,"HTF",rents!D73=1,"HOME",rents!E73=1,"Lead Paint",rents!F73=1,"Project Based Assistance",rents!G73=1,"Tax Credit",rents!H73=1,"VHCB",rents!I73=1,"ADA Mobility",rents!J73=1,"ADA A/V",rents!K73=1, "Adaptable",rents!L73=1,"General",rents!M73=1,"Age Restricted",rents!N73=1,rents!$N$4,rents!O73=1,rents!$O$4,rents!P73=1,"Unrestricted"), ", ",
_xlfn.IFS(rents!V73=1,"30% AMI",rents!W73=1,"40% AMI",rents!X73=1,"50% AMI",rents!Y73=1,"60% AMI",rents!Z73=1,"70% AMI",rents!AA73=1,"80% AMI",rents!AB73=1,"100% AMI",rents!AC73=1,"Market Rate"))</f>
        <v>#N/A</v>
      </c>
      <c r="AU69" s="443" t="e">
        <f t="shared" si="69"/>
        <v>#N/A</v>
      </c>
      <c r="AV69" s="444">
        <f>rents!U73</f>
        <v>0</v>
      </c>
      <c r="AW69" s="445">
        <f>rents!T73</f>
        <v>0</v>
      </c>
      <c r="AX69" s="446">
        <f t="shared" si="57"/>
        <v>0</v>
      </c>
      <c r="AY69" s="446">
        <f t="shared" si="58"/>
        <v>0</v>
      </c>
      <c r="AZ69" s="436">
        <v>58</v>
      </c>
      <c r="BA69" s="447">
        <f t="shared" si="59"/>
        <v>1</v>
      </c>
      <c r="BB69" s="436">
        <v>58</v>
      </c>
      <c r="BC69" s="448">
        <f t="shared" si="60"/>
        <v>1</v>
      </c>
    </row>
    <row r="70" spans="11:55" ht="14.25" customHeight="1">
      <c r="K70" s="434" t="str">
        <f t="shared" si="61"/>
        <v/>
      </c>
      <c r="S70" s="435"/>
      <c r="T70" s="436">
        <f t="shared" si="62"/>
        <v>69</v>
      </c>
      <c r="U70" s="437" t="e">
        <f t="shared" si="46"/>
        <v>#N/A</v>
      </c>
      <c r="V70" s="438">
        <f t="shared" si="47"/>
        <v>0</v>
      </c>
      <c r="W70" s="438">
        <v>1</v>
      </c>
      <c r="X70" s="439" t="e">
        <f t="shared" si="63"/>
        <v>#N/A</v>
      </c>
      <c r="Y70" s="440" t="e">
        <f t="shared" si="48"/>
        <v>#N/A</v>
      </c>
      <c r="Z70" s="441" t="e">
        <f t="shared" si="49"/>
        <v>#N/A</v>
      </c>
      <c r="AA70" s="442" t="str">
        <f t="shared" si="64"/>
        <v/>
      </c>
      <c r="AB70" s="443" t="str">
        <f t="shared" si="65"/>
        <v/>
      </c>
      <c r="AC70" s="444" t="e">
        <f t="shared" si="50"/>
        <v>#N/A</v>
      </c>
      <c r="AD70" s="445" t="e">
        <f t="shared" si="51"/>
        <v>#N/A</v>
      </c>
      <c r="AE70" s="446" t="e">
        <f t="shared" si="52"/>
        <v>#N/A</v>
      </c>
      <c r="AF70" s="446" t="e">
        <f t="shared" si="53"/>
        <v>#N/A</v>
      </c>
      <c r="AG70" s="436">
        <v>0</v>
      </c>
      <c r="AH70" s="447">
        <f t="shared" si="54"/>
        <v>0</v>
      </c>
      <c r="AI70" s="436">
        <v>0</v>
      </c>
      <c r="AJ70" s="448">
        <f t="shared" si="55"/>
        <v>0</v>
      </c>
      <c r="AL70" s="435" t="str">
        <f t="shared" si="66"/>
        <v/>
      </c>
      <c r="AM70" s="436">
        <f t="shared" si="67"/>
        <v>69</v>
      </c>
      <c r="AN70" s="437">
        <f>rents!Q74</f>
        <v>0</v>
      </c>
      <c r="AO70" s="438">
        <v>1</v>
      </c>
      <c r="AP70" s="438">
        <v>1</v>
      </c>
      <c r="AQ70" s="439">
        <f t="shared" si="68"/>
        <v>1</v>
      </c>
      <c r="AR70" s="440">
        <f>rents!R74</f>
        <v>0</v>
      </c>
      <c r="AS70" s="441">
        <f t="shared" si="56"/>
        <v>0</v>
      </c>
      <c r="AT70" s="442" t="e" cm="1">
        <f t="array" ref="AT70">CONCATENATE(_xlfn.IFS(rents!C74=1,"HTF",rents!D74=1,"HOME",rents!E74=1,"Lead Paint",rents!F74=1,"Project Based Assistance",rents!G74=1,"Tax Credit",rents!H74=1,"VHCB",rents!I74=1,"ADA Mobility",rents!J74=1,"ADA A/V",rents!K74=1, "Adaptable",rents!L74=1,"General",rents!M74=1,"Age Restricted",rents!N74=1,rents!$N$4,rents!O74=1,rents!$O$4,rents!P74=1,"Unrestricted"), ", ",
_xlfn.IFS(rents!V74=1,"30% AMI",rents!W74=1,"40% AMI",rents!X74=1,"50% AMI",rents!Y74=1,"60% AMI",rents!Z74=1,"70% AMI",rents!AA74=1,"80% AMI",rents!AB74=1,"100% AMI",rents!AC74=1,"Market Rate"))</f>
        <v>#N/A</v>
      </c>
      <c r="AU70" s="443" t="e">
        <f t="shared" si="69"/>
        <v>#N/A</v>
      </c>
      <c r="AV70" s="444">
        <f>rents!U74</f>
        <v>0</v>
      </c>
      <c r="AW70" s="445">
        <f>rents!T74</f>
        <v>0</v>
      </c>
      <c r="AX70" s="446">
        <f t="shared" si="57"/>
        <v>0</v>
      </c>
      <c r="AY70" s="446">
        <f t="shared" si="58"/>
        <v>0</v>
      </c>
      <c r="AZ70" s="436">
        <v>59</v>
      </c>
      <c r="BA70" s="447">
        <f t="shared" si="59"/>
        <v>1</v>
      </c>
      <c r="BB70" s="436">
        <v>59</v>
      </c>
      <c r="BC70" s="448">
        <f t="shared" si="60"/>
        <v>1</v>
      </c>
    </row>
    <row r="71" spans="11:55" ht="14.25" customHeight="1">
      <c r="K71" s="434" t="str">
        <f t="shared" si="61"/>
        <v/>
      </c>
      <c r="S71" s="435"/>
      <c r="T71" s="436">
        <f t="shared" si="62"/>
        <v>70</v>
      </c>
      <c r="U71" s="437" t="e">
        <f t="shared" si="46"/>
        <v>#N/A</v>
      </c>
      <c r="V71" s="438">
        <f t="shared" si="47"/>
        <v>0</v>
      </c>
      <c r="W71" s="438">
        <v>1</v>
      </c>
      <c r="X71" s="439" t="e">
        <f t="shared" si="63"/>
        <v>#N/A</v>
      </c>
      <c r="Y71" s="440" t="e">
        <f t="shared" si="48"/>
        <v>#N/A</v>
      </c>
      <c r="Z71" s="441" t="e">
        <f t="shared" si="49"/>
        <v>#N/A</v>
      </c>
      <c r="AA71" s="442" t="str">
        <f t="shared" si="64"/>
        <v/>
      </c>
      <c r="AB71" s="443" t="str">
        <f t="shared" si="65"/>
        <v/>
      </c>
      <c r="AC71" s="444" t="e">
        <f t="shared" si="50"/>
        <v>#N/A</v>
      </c>
      <c r="AD71" s="445" t="e">
        <f t="shared" si="51"/>
        <v>#N/A</v>
      </c>
      <c r="AE71" s="446" t="e">
        <f t="shared" si="52"/>
        <v>#N/A</v>
      </c>
      <c r="AF71" s="446" t="e">
        <f t="shared" si="53"/>
        <v>#N/A</v>
      </c>
      <c r="AG71" s="436">
        <v>0</v>
      </c>
      <c r="AH71" s="447">
        <f t="shared" si="54"/>
        <v>0</v>
      </c>
      <c r="AI71" s="436">
        <v>0</v>
      </c>
      <c r="AJ71" s="448">
        <f t="shared" si="55"/>
        <v>0</v>
      </c>
      <c r="AL71" s="435" t="str">
        <f t="shared" si="66"/>
        <v/>
      </c>
      <c r="AM71" s="436">
        <f t="shared" si="67"/>
        <v>70</v>
      </c>
      <c r="AN71" s="437">
        <f>rents!Q75</f>
        <v>0</v>
      </c>
      <c r="AO71" s="438">
        <v>1</v>
      </c>
      <c r="AP71" s="438">
        <v>1</v>
      </c>
      <c r="AQ71" s="439">
        <f t="shared" si="68"/>
        <v>1</v>
      </c>
      <c r="AR71" s="440">
        <f>rents!R75</f>
        <v>0</v>
      </c>
      <c r="AS71" s="441">
        <f t="shared" si="56"/>
        <v>0</v>
      </c>
      <c r="AT71" s="442" t="e" cm="1">
        <f t="array" ref="AT71">CONCATENATE(_xlfn.IFS(rents!C75=1,"HTF",rents!D75=1,"HOME",rents!E75=1,"Lead Paint",rents!F75=1,"Project Based Assistance",rents!G75=1,"Tax Credit",rents!H75=1,"VHCB",rents!I75=1,"ADA Mobility",rents!J75=1,"ADA A/V",rents!K75=1, "Adaptable",rents!L75=1,"General",rents!M75=1,"Age Restricted",rents!N75=1,rents!$N$4,rents!O75=1,rents!$O$4,rents!P75=1,"Unrestricted"), ", ",
_xlfn.IFS(rents!V75=1,"30% AMI",rents!W75=1,"40% AMI",rents!X75=1,"50% AMI",rents!Y75=1,"60% AMI",rents!Z75=1,"70% AMI",rents!AA75=1,"80% AMI",rents!AB75=1,"100% AMI",rents!AC75=1,"Market Rate"))</f>
        <v>#N/A</v>
      </c>
      <c r="AU71" s="443" t="e">
        <f t="shared" si="69"/>
        <v>#N/A</v>
      </c>
      <c r="AV71" s="444">
        <f>rents!U75</f>
        <v>0</v>
      </c>
      <c r="AW71" s="445">
        <f>rents!T75</f>
        <v>0</v>
      </c>
      <c r="AX71" s="446">
        <f t="shared" si="57"/>
        <v>0</v>
      </c>
      <c r="AY71" s="446">
        <f t="shared" si="58"/>
        <v>0</v>
      </c>
      <c r="AZ71" s="436">
        <v>60</v>
      </c>
      <c r="BA71" s="447">
        <f t="shared" si="59"/>
        <v>1</v>
      </c>
      <c r="BB71" s="436">
        <v>60</v>
      </c>
      <c r="BC71" s="448">
        <f t="shared" si="60"/>
        <v>1</v>
      </c>
    </row>
    <row r="72" spans="11:55" ht="14.25" customHeight="1">
      <c r="K72" s="434" t="str">
        <f t="shared" si="61"/>
        <v/>
      </c>
      <c r="S72" s="435"/>
      <c r="T72" s="436">
        <f t="shared" si="62"/>
        <v>71</v>
      </c>
      <c r="U72" s="437" t="e">
        <f t="shared" si="46"/>
        <v>#N/A</v>
      </c>
      <c r="V72" s="438">
        <f t="shared" si="47"/>
        <v>0</v>
      </c>
      <c r="W72" s="438">
        <v>1</v>
      </c>
      <c r="X72" s="439" t="e">
        <f t="shared" si="63"/>
        <v>#N/A</v>
      </c>
      <c r="Y72" s="440" t="e">
        <f t="shared" si="48"/>
        <v>#N/A</v>
      </c>
      <c r="Z72" s="441" t="e">
        <f t="shared" si="49"/>
        <v>#N/A</v>
      </c>
      <c r="AA72" s="442" t="str">
        <f t="shared" si="64"/>
        <v/>
      </c>
      <c r="AB72" s="443" t="str">
        <f t="shared" si="65"/>
        <v/>
      </c>
      <c r="AC72" s="444" t="e">
        <f t="shared" si="50"/>
        <v>#N/A</v>
      </c>
      <c r="AD72" s="445" t="e">
        <f t="shared" si="51"/>
        <v>#N/A</v>
      </c>
      <c r="AE72" s="446" t="e">
        <f t="shared" si="52"/>
        <v>#N/A</v>
      </c>
      <c r="AF72" s="446" t="e">
        <f t="shared" si="53"/>
        <v>#N/A</v>
      </c>
      <c r="AG72" s="436">
        <v>0</v>
      </c>
      <c r="AH72" s="447">
        <f t="shared" si="54"/>
        <v>0</v>
      </c>
      <c r="AI72" s="436">
        <v>0</v>
      </c>
      <c r="AJ72" s="448">
        <f t="shared" si="55"/>
        <v>0</v>
      </c>
      <c r="AL72" s="435" t="str">
        <f t="shared" si="66"/>
        <v/>
      </c>
      <c r="AM72" s="436">
        <f t="shared" si="67"/>
        <v>71</v>
      </c>
      <c r="AN72" s="437">
        <f>rents!Q76</f>
        <v>0</v>
      </c>
      <c r="AO72" s="438">
        <v>1</v>
      </c>
      <c r="AP72" s="438">
        <v>1</v>
      </c>
      <c r="AQ72" s="439">
        <f t="shared" si="68"/>
        <v>1</v>
      </c>
      <c r="AR72" s="440">
        <f>rents!R76</f>
        <v>0</v>
      </c>
      <c r="AS72" s="441">
        <f t="shared" si="56"/>
        <v>0</v>
      </c>
      <c r="AT72" s="442" t="e" cm="1">
        <f t="array" ref="AT72">CONCATENATE(_xlfn.IFS(rents!C76=1,"HTF",rents!D76=1,"HOME",rents!E76=1,"Lead Paint",rents!F76=1,"Project Based Assistance",rents!G76=1,"Tax Credit",rents!H76=1,"VHCB",rents!I76=1,"ADA Mobility",rents!J76=1,"ADA A/V",rents!K76=1, "Adaptable",rents!L76=1,"General",rents!M76=1,"Age Restricted",rents!N76=1,rents!$N$4,rents!O76=1,rents!$O$4,rents!P76=1,"Unrestricted"), ", ",
_xlfn.IFS(rents!V76=1,"30% AMI",rents!W76=1,"40% AMI",rents!X76=1,"50% AMI",rents!Y76=1,"60% AMI",rents!Z76=1,"70% AMI",rents!AA76=1,"80% AMI",rents!AB76=1,"100% AMI",rents!AC76=1,"Market Rate"))</f>
        <v>#N/A</v>
      </c>
      <c r="AU72" s="443" t="e">
        <f t="shared" si="69"/>
        <v>#N/A</v>
      </c>
      <c r="AV72" s="444">
        <f>rents!U76</f>
        <v>0</v>
      </c>
      <c r="AW72" s="445">
        <f>rents!T76</f>
        <v>0</v>
      </c>
      <c r="AX72" s="446">
        <f t="shared" si="57"/>
        <v>0</v>
      </c>
      <c r="AY72" s="446">
        <f t="shared" si="58"/>
        <v>0</v>
      </c>
      <c r="AZ72" s="436">
        <v>61</v>
      </c>
      <c r="BA72" s="447">
        <f t="shared" si="59"/>
        <v>1</v>
      </c>
      <c r="BB72" s="436">
        <v>61</v>
      </c>
      <c r="BC72" s="448">
        <f t="shared" si="60"/>
        <v>1</v>
      </c>
    </row>
    <row r="73" spans="11:55" ht="14.25" customHeight="1">
      <c r="K73" s="434" t="str">
        <f t="shared" si="61"/>
        <v/>
      </c>
      <c r="S73" s="435"/>
      <c r="T73" s="436">
        <f t="shared" si="62"/>
        <v>72</v>
      </c>
      <c r="U73" s="437" t="e">
        <f t="shared" si="46"/>
        <v>#N/A</v>
      </c>
      <c r="V73" s="438">
        <f t="shared" si="47"/>
        <v>0</v>
      </c>
      <c r="W73" s="438">
        <v>1</v>
      </c>
      <c r="X73" s="439" t="e">
        <f t="shared" si="63"/>
        <v>#N/A</v>
      </c>
      <c r="Y73" s="440" t="e">
        <f t="shared" si="48"/>
        <v>#N/A</v>
      </c>
      <c r="Z73" s="441" t="e">
        <f t="shared" si="49"/>
        <v>#N/A</v>
      </c>
      <c r="AA73" s="442" t="str">
        <f t="shared" si="64"/>
        <v/>
      </c>
      <c r="AB73" s="443" t="str">
        <f t="shared" si="65"/>
        <v/>
      </c>
      <c r="AC73" s="444" t="e">
        <f t="shared" si="50"/>
        <v>#N/A</v>
      </c>
      <c r="AD73" s="445" t="e">
        <f t="shared" si="51"/>
        <v>#N/A</v>
      </c>
      <c r="AE73" s="446" t="e">
        <f t="shared" si="52"/>
        <v>#N/A</v>
      </c>
      <c r="AF73" s="446" t="e">
        <f t="shared" si="53"/>
        <v>#N/A</v>
      </c>
      <c r="AG73" s="436">
        <v>0</v>
      </c>
      <c r="AH73" s="447">
        <f t="shared" si="54"/>
        <v>0</v>
      </c>
      <c r="AI73" s="436">
        <v>0</v>
      </c>
      <c r="AJ73" s="448">
        <f t="shared" si="55"/>
        <v>0</v>
      </c>
      <c r="AL73" s="435" t="str">
        <f t="shared" si="66"/>
        <v/>
      </c>
      <c r="AM73" s="436">
        <f t="shared" si="67"/>
        <v>72</v>
      </c>
      <c r="AN73" s="437">
        <f>rents!Q77</f>
        <v>0</v>
      </c>
      <c r="AO73" s="438">
        <v>1</v>
      </c>
      <c r="AP73" s="438">
        <v>1</v>
      </c>
      <c r="AQ73" s="439">
        <f t="shared" si="68"/>
        <v>1</v>
      </c>
      <c r="AR73" s="440">
        <f>rents!R77</f>
        <v>0</v>
      </c>
      <c r="AS73" s="441">
        <f t="shared" si="56"/>
        <v>0</v>
      </c>
      <c r="AT73" s="442" t="e" cm="1">
        <f t="array" ref="AT73">CONCATENATE(_xlfn.IFS(rents!C77=1,"HTF",rents!D77=1,"HOME",rents!E77=1,"Lead Paint",rents!F77=1,"Project Based Assistance",rents!G77=1,"Tax Credit",rents!H77=1,"VHCB",rents!I77=1,"ADA Mobility",rents!J77=1,"ADA A/V",rents!K77=1, "Adaptable",rents!L77=1,"General",rents!M77=1,"Age Restricted",rents!N77=1,rents!$N$4,rents!O77=1,rents!$O$4,rents!P77=1,"Unrestricted"), ", ",
_xlfn.IFS(rents!V77=1,"30% AMI",rents!W77=1,"40% AMI",rents!X77=1,"50% AMI",rents!Y77=1,"60% AMI",rents!Z77=1,"70% AMI",rents!AA77=1,"80% AMI",rents!AB77=1,"100% AMI",rents!AC77=1,"Market Rate"))</f>
        <v>#N/A</v>
      </c>
      <c r="AU73" s="443" t="e">
        <f t="shared" si="69"/>
        <v>#N/A</v>
      </c>
      <c r="AV73" s="444">
        <f>rents!U77</f>
        <v>0</v>
      </c>
      <c r="AW73" s="445">
        <f>rents!T77</f>
        <v>0</v>
      </c>
      <c r="AX73" s="446">
        <f t="shared" si="57"/>
        <v>0</v>
      </c>
      <c r="AY73" s="446">
        <f t="shared" si="58"/>
        <v>0</v>
      </c>
      <c r="AZ73" s="436">
        <v>62</v>
      </c>
      <c r="BA73" s="447">
        <f t="shared" si="59"/>
        <v>1</v>
      </c>
      <c r="BB73" s="436">
        <v>62</v>
      </c>
      <c r="BC73" s="448">
        <f t="shared" si="60"/>
        <v>1</v>
      </c>
    </row>
    <row r="74" spans="11:55" ht="14.25" customHeight="1">
      <c r="K74" s="434" t="str">
        <f t="shared" si="61"/>
        <v/>
      </c>
      <c r="S74" s="435"/>
      <c r="T74" s="436">
        <f t="shared" si="62"/>
        <v>73</v>
      </c>
      <c r="U74" s="437" t="e">
        <f t="shared" si="46"/>
        <v>#N/A</v>
      </c>
      <c r="V74" s="438">
        <f t="shared" si="47"/>
        <v>0</v>
      </c>
      <c r="W74" s="438">
        <v>1</v>
      </c>
      <c r="X74" s="439" t="e">
        <f t="shared" si="63"/>
        <v>#N/A</v>
      </c>
      <c r="Y74" s="440" t="e">
        <f t="shared" si="48"/>
        <v>#N/A</v>
      </c>
      <c r="Z74" s="441" t="e">
        <f t="shared" si="49"/>
        <v>#N/A</v>
      </c>
      <c r="AA74" s="442" t="str">
        <f t="shared" si="64"/>
        <v/>
      </c>
      <c r="AB74" s="443" t="str">
        <f t="shared" si="65"/>
        <v/>
      </c>
      <c r="AC74" s="444" t="e">
        <f t="shared" si="50"/>
        <v>#N/A</v>
      </c>
      <c r="AD74" s="445" t="e">
        <f t="shared" si="51"/>
        <v>#N/A</v>
      </c>
      <c r="AE74" s="446" t="e">
        <f t="shared" si="52"/>
        <v>#N/A</v>
      </c>
      <c r="AF74" s="446" t="e">
        <f t="shared" si="53"/>
        <v>#N/A</v>
      </c>
      <c r="AG74" s="436">
        <v>0</v>
      </c>
      <c r="AH74" s="447">
        <f t="shared" si="54"/>
        <v>0</v>
      </c>
      <c r="AI74" s="436">
        <v>0</v>
      </c>
      <c r="AJ74" s="448">
        <f t="shared" si="55"/>
        <v>0</v>
      </c>
      <c r="AL74" s="435" t="str">
        <f t="shared" si="66"/>
        <v/>
      </c>
      <c r="AM74" s="436">
        <f t="shared" si="67"/>
        <v>73</v>
      </c>
      <c r="AN74" s="437">
        <f>rents!Q78</f>
        <v>0</v>
      </c>
      <c r="AO74" s="438">
        <v>1</v>
      </c>
      <c r="AP74" s="438">
        <v>1</v>
      </c>
      <c r="AQ74" s="439">
        <f t="shared" si="68"/>
        <v>1</v>
      </c>
      <c r="AR74" s="440">
        <f>rents!R78</f>
        <v>0</v>
      </c>
      <c r="AS74" s="441">
        <f t="shared" si="56"/>
        <v>0</v>
      </c>
      <c r="AT74" s="442" t="e" cm="1">
        <f t="array" ref="AT74">CONCATENATE(_xlfn.IFS(rents!C78=1,"HTF",rents!D78=1,"HOME",rents!E78=1,"Lead Paint",rents!F78=1,"Project Based Assistance",rents!G78=1,"Tax Credit",rents!H78=1,"VHCB",rents!I78=1,"ADA Mobility",rents!J78=1,"ADA A/V",rents!K78=1, "Adaptable",rents!L78=1,"General",rents!M78=1,"Age Restricted",rents!N78=1,rents!$N$4,rents!O78=1,rents!$O$4,rents!P78=1,"Unrestricted"), ", ",
_xlfn.IFS(rents!V78=1,"30% AMI",rents!W78=1,"40% AMI",rents!X78=1,"50% AMI",rents!Y78=1,"60% AMI",rents!Z78=1,"70% AMI",rents!AA78=1,"80% AMI",rents!AB78=1,"100% AMI",rents!AC78=1,"Market Rate"))</f>
        <v>#N/A</v>
      </c>
      <c r="AU74" s="443" t="e">
        <f t="shared" si="69"/>
        <v>#N/A</v>
      </c>
      <c r="AV74" s="444">
        <f>rents!U78</f>
        <v>0</v>
      </c>
      <c r="AW74" s="445">
        <f>rents!T78</f>
        <v>0</v>
      </c>
      <c r="AX74" s="446">
        <f t="shared" si="57"/>
        <v>0</v>
      </c>
      <c r="AY74" s="446">
        <f t="shared" si="58"/>
        <v>0</v>
      </c>
      <c r="AZ74" s="436">
        <v>63</v>
      </c>
      <c r="BA74" s="447">
        <f t="shared" si="59"/>
        <v>1</v>
      </c>
      <c r="BB74" s="436">
        <v>63</v>
      </c>
      <c r="BC74" s="448">
        <f t="shared" si="60"/>
        <v>1</v>
      </c>
    </row>
    <row r="75" spans="11:55" ht="14.25" customHeight="1">
      <c r="K75" s="434" t="str">
        <f t="shared" si="61"/>
        <v/>
      </c>
      <c r="S75" s="435"/>
      <c r="T75" s="436">
        <f t="shared" si="62"/>
        <v>74</v>
      </c>
      <c r="U75" s="437" t="e">
        <f t="shared" si="46"/>
        <v>#N/A</v>
      </c>
      <c r="V75" s="438">
        <f t="shared" si="47"/>
        <v>0</v>
      </c>
      <c r="W75" s="438">
        <v>1</v>
      </c>
      <c r="X75" s="439" t="e">
        <f t="shared" si="63"/>
        <v>#N/A</v>
      </c>
      <c r="Y75" s="440" t="e">
        <f t="shared" si="48"/>
        <v>#N/A</v>
      </c>
      <c r="Z75" s="441" t="e">
        <f t="shared" si="49"/>
        <v>#N/A</v>
      </c>
      <c r="AA75" s="442" t="str">
        <f t="shared" si="64"/>
        <v/>
      </c>
      <c r="AB75" s="443" t="str">
        <f t="shared" si="65"/>
        <v/>
      </c>
      <c r="AC75" s="444" t="e">
        <f t="shared" si="50"/>
        <v>#N/A</v>
      </c>
      <c r="AD75" s="445" t="e">
        <f t="shared" si="51"/>
        <v>#N/A</v>
      </c>
      <c r="AE75" s="446" t="e">
        <f t="shared" si="52"/>
        <v>#N/A</v>
      </c>
      <c r="AF75" s="446" t="e">
        <f t="shared" si="53"/>
        <v>#N/A</v>
      </c>
      <c r="AG75" s="436">
        <v>0</v>
      </c>
      <c r="AH75" s="447">
        <f t="shared" si="54"/>
        <v>0</v>
      </c>
      <c r="AI75" s="436">
        <v>0</v>
      </c>
      <c r="AJ75" s="448">
        <f t="shared" si="55"/>
        <v>0</v>
      </c>
      <c r="AL75" s="435" t="str">
        <f t="shared" si="66"/>
        <v/>
      </c>
      <c r="AM75" s="436">
        <f t="shared" si="67"/>
        <v>74</v>
      </c>
      <c r="AN75" s="437">
        <f>rents!Q79</f>
        <v>0</v>
      </c>
      <c r="AO75" s="438">
        <v>1</v>
      </c>
      <c r="AP75" s="438">
        <v>1</v>
      </c>
      <c r="AQ75" s="439">
        <f t="shared" si="68"/>
        <v>1</v>
      </c>
      <c r="AR75" s="440">
        <f>rents!R79</f>
        <v>0</v>
      </c>
      <c r="AS75" s="441">
        <f t="shared" si="56"/>
        <v>0</v>
      </c>
      <c r="AT75" s="442" t="e" cm="1">
        <f t="array" ref="AT75">CONCATENATE(_xlfn.IFS(rents!C79=1,"HTF",rents!D79=1,"HOME",rents!E79=1,"Lead Paint",rents!F79=1,"Project Based Assistance",rents!G79=1,"Tax Credit",rents!H79=1,"VHCB",rents!I79=1,"ADA Mobility",rents!J79=1,"ADA A/V",rents!K79=1, "Adaptable",rents!L79=1,"General",rents!M79=1,"Age Restricted",rents!N79=1,rents!$N$4,rents!O79=1,rents!$O$4,rents!P79=1,"Unrestricted"), ", ",
_xlfn.IFS(rents!V79=1,"30% AMI",rents!W79=1,"40% AMI",rents!X79=1,"50% AMI",rents!Y79=1,"60% AMI",rents!Z79=1,"70% AMI",rents!AA79=1,"80% AMI",rents!AB79=1,"100% AMI",rents!AC79=1,"Market Rate"))</f>
        <v>#N/A</v>
      </c>
      <c r="AU75" s="443" t="e">
        <f t="shared" si="69"/>
        <v>#N/A</v>
      </c>
      <c r="AV75" s="444">
        <f>rents!U79</f>
        <v>0</v>
      </c>
      <c r="AW75" s="445">
        <f>rents!T79</f>
        <v>0</v>
      </c>
      <c r="AX75" s="446">
        <f t="shared" si="57"/>
        <v>0</v>
      </c>
      <c r="AY75" s="446">
        <f t="shared" si="58"/>
        <v>0</v>
      </c>
      <c r="AZ75" s="436">
        <v>64</v>
      </c>
      <c r="BA75" s="447">
        <f t="shared" si="59"/>
        <v>1</v>
      </c>
      <c r="BB75" s="436">
        <v>64</v>
      </c>
      <c r="BC75" s="448">
        <f t="shared" si="60"/>
        <v>1</v>
      </c>
    </row>
    <row r="76" spans="11:55" ht="14.25" customHeight="1">
      <c r="K76" s="434" t="str">
        <f t="shared" si="61"/>
        <v/>
      </c>
      <c r="S76" s="435"/>
      <c r="T76" s="436">
        <f t="shared" si="62"/>
        <v>75</v>
      </c>
      <c r="U76" s="437" t="e">
        <f t="shared" si="46"/>
        <v>#N/A</v>
      </c>
      <c r="V76" s="438">
        <f t="shared" si="47"/>
        <v>0</v>
      </c>
      <c r="W76" s="438">
        <v>1</v>
      </c>
      <c r="X76" s="439" t="e">
        <f t="shared" si="63"/>
        <v>#N/A</v>
      </c>
      <c r="Y76" s="440" t="e">
        <f t="shared" si="48"/>
        <v>#N/A</v>
      </c>
      <c r="Z76" s="441" t="e">
        <f t="shared" si="49"/>
        <v>#N/A</v>
      </c>
      <c r="AA76" s="442" t="str">
        <f t="shared" si="64"/>
        <v/>
      </c>
      <c r="AB76" s="443" t="str">
        <f t="shared" si="65"/>
        <v/>
      </c>
      <c r="AC76" s="444" t="e">
        <f t="shared" si="50"/>
        <v>#N/A</v>
      </c>
      <c r="AD76" s="445" t="e">
        <f t="shared" si="51"/>
        <v>#N/A</v>
      </c>
      <c r="AE76" s="446" t="e">
        <f t="shared" si="52"/>
        <v>#N/A</v>
      </c>
      <c r="AF76" s="446" t="e">
        <f t="shared" si="53"/>
        <v>#N/A</v>
      </c>
      <c r="AG76" s="436">
        <v>0</v>
      </c>
      <c r="AH76" s="447">
        <f t="shared" si="54"/>
        <v>0</v>
      </c>
      <c r="AI76" s="436">
        <v>0</v>
      </c>
      <c r="AJ76" s="448">
        <f t="shared" si="55"/>
        <v>0</v>
      </c>
      <c r="AL76" s="435" t="str">
        <f t="shared" si="66"/>
        <v/>
      </c>
      <c r="AM76" s="436">
        <f t="shared" si="67"/>
        <v>75</v>
      </c>
      <c r="AN76" s="437">
        <f>rents!Q80</f>
        <v>0</v>
      </c>
      <c r="AO76" s="438">
        <v>1</v>
      </c>
      <c r="AP76" s="438">
        <v>1</v>
      </c>
      <c r="AQ76" s="439">
        <f t="shared" si="68"/>
        <v>1</v>
      </c>
      <c r="AR76" s="440">
        <f>rents!R80</f>
        <v>0</v>
      </c>
      <c r="AS76" s="441">
        <f t="shared" si="56"/>
        <v>0</v>
      </c>
      <c r="AT76" s="442" t="e" cm="1">
        <f t="array" ref="AT76">CONCATENATE(_xlfn.IFS(rents!C80=1,"HTF",rents!D80=1,"HOME",rents!E80=1,"Lead Paint",rents!F80=1,"Project Based Assistance",rents!G80=1,"Tax Credit",rents!H80=1,"VHCB",rents!I80=1,"ADA Mobility",rents!J80=1,"ADA A/V",rents!K80=1, "Adaptable",rents!L80=1,"General",rents!M80=1,"Age Restricted",rents!N80=1,rents!$N$4,rents!O80=1,rents!$O$4,rents!P80=1,"Unrestricted"), ", ",
_xlfn.IFS(rents!V80=1,"30% AMI",rents!W80=1,"40% AMI",rents!X80=1,"50% AMI",rents!Y80=1,"60% AMI",rents!Z80=1,"70% AMI",rents!AA80=1,"80% AMI",rents!AB80=1,"100% AMI",rents!AC80=1,"Market Rate"))</f>
        <v>#N/A</v>
      </c>
      <c r="AU76" s="443" t="e">
        <f t="shared" si="69"/>
        <v>#N/A</v>
      </c>
      <c r="AV76" s="444">
        <f>rents!U80</f>
        <v>0</v>
      </c>
      <c r="AW76" s="445">
        <f>rents!T80</f>
        <v>0</v>
      </c>
      <c r="AX76" s="446">
        <f t="shared" si="57"/>
        <v>0</v>
      </c>
      <c r="AY76" s="446">
        <f t="shared" si="58"/>
        <v>0</v>
      </c>
      <c r="AZ76" s="436">
        <v>65</v>
      </c>
      <c r="BA76" s="447">
        <f t="shared" si="59"/>
        <v>1</v>
      </c>
      <c r="BB76" s="436">
        <v>65</v>
      </c>
      <c r="BC76" s="448">
        <f t="shared" si="60"/>
        <v>1</v>
      </c>
    </row>
    <row r="77" spans="11:55" ht="14.25" customHeight="1">
      <c r="K77" s="434" t="str">
        <f t="shared" si="61"/>
        <v/>
      </c>
      <c r="S77" s="435"/>
      <c r="T77" s="436">
        <f t="shared" si="62"/>
        <v>76</v>
      </c>
      <c r="U77" s="437" t="e">
        <f t="shared" si="46"/>
        <v>#N/A</v>
      </c>
      <c r="V77" s="438">
        <f t="shared" si="47"/>
        <v>0</v>
      </c>
      <c r="W77" s="438">
        <v>1</v>
      </c>
      <c r="X77" s="439" t="e">
        <f t="shared" si="63"/>
        <v>#N/A</v>
      </c>
      <c r="Y77" s="440" t="e">
        <f t="shared" si="48"/>
        <v>#N/A</v>
      </c>
      <c r="Z77" s="441" t="e">
        <f t="shared" si="49"/>
        <v>#N/A</v>
      </c>
      <c r="AA77" s="442" t="str">
        <f t="shared" si="64"/>
        <v/>
      </c>
      <c r="AB77" s="443" t="str">
        <f t="shared" si="65"/>
        <v/>
      </c>
      <c r="AC77" s="444" t="e">
        <f t="shared" si="50"/>
        <v>#N/A</v>
      </c>
      <c r="AD77" s="445" t="e">
        <f t="shared" si="51"/>
        <v>#N/A</v>
      </c>
      <c r="AE77" s="446" t="e">
        <f t="shared" si="52"/>
        <v>#N/A</v>
      </c>
      <c r="AF77" s="446" t="e">
        <f t="shared" si="53"/>
        <v>#N/A</v>
      </c>
      <c r="AG77" s="436">
        <v>0</v>
      </c>
      <c r="AH77" s="447">
        <f t="shared" si="54"/>
        <v>0</v>
      </c>
      <c r="AI77" s="436">
        <v>0</v>
      </c>
      <c r="AJ77" s="448">
        <f t="shared" si="55"/>
        <v>0</v>
      </c>
      <c r="AL77" s="435" t="str">
        <f t="shared" si="66"/>
        <v/>
      </c>
      <c r="AM77" s="436">
        <f t="shared" si="67"/>
        <v>76</v>
      </c>
      <c r="AN77" s="437">
        <f>rents!Q81</f>
        <v>0</v>
      </c>
      <c r="AO77" s="438">
        <v>1</v>
      </c>
      <c r="AP77" s="438">
        <v>1</v>
      </c>
      <c r="AQ77" s="439">
        <f t="shared" si="68"/>
        <v>1</v>
      </c>
      <c r="AR77" s="440">
        <f>rents!R81</f>
        <v>0</v>
      </c>
      <c r="AS77" s="441">
        <f t="shared" si="56"/>
        <v>0</v>
      </c>
      <c r="AT77" s="442" t="e" cm="1">
        <f t="array" ref="AT77">CONCATENATE(_xlfn.IFS(rents!C81=1,"HTF",rents!D81=1,"HOME",rents!E81=1,"Lead Paint",rents!F81=1,"Project Based Assistance",rents!G81=1,"Tax Credit",rents!H81=1,"VHCB",rents!I81=1,"ADA Mobility",rents!J81=1,"ADA A/V",rents!K81=1, "Adaptable",rents!L81=1,"General",rents!M81=1,"Age Restricted",rents!N81=1,rents!$N$4,rents!O81=1,rents!$O$4,rents!P81=1,"Unrestricted"), ", ",
_xlfn.IFS(rents!V81=1,"30% AMI",rents!W81=1,"40% AMI",rents!X81=1,"50% AMI",rents!Y81=1,"60% AMI",rents!Z81=1,"70% AMI",rents!AA81=1,"80% AMI",rents!AB81=1,"100% AMI",rents!AC81=1,"Market Rate"))</f>
        <v>#N/A</v>
      </c>
      <c r="AU77" s="443" t="e">
        <f t="shared" si="69"/>
        <v>#N/A</v>
      </c>
      <c r="AV77" s="444">
        <f>rents!U81</f>
        <v>0</v>
      </c>
      <c r="AW77" s="445">
        <f>rents!T81</f>
        <v>0</v>
      </c>
      <c r="AX77" s="446">
        <f t="shared" si="57"/>
        <v>0</v>
      </c>
      <c r="AY77" s="446">
        <f t="shared" si="58"/>
        <v>0</v>
      </c>
      <c r="AZ77" s="436">
        <v>66</v>
      </c>
      <c r="BA77" s="447">
        <f t="shared" si="59"/>
        <v>1</v>
      </c>
      <c r="BB77" s="436">
        <v>66</v>
      </c>
      <c r="BC77" s="448">
        <f t="shared" si="60"/>
        <v>1</v>
      </c>
    </row>
    <row r="78" spans="11:55" ht="14.25" customHeight="1">
      <c r="K78" s="434" t="str">
        <f t="shared" si="61"/>
        <v/>
      </c>
      <c r="S78" s="435"/>
      <c r="T78" s="436">
        <f t="shared" si="62"/>
        <v>77</v>
      </c>
      <c r="U78" s="437" t="e">
        <f t="shared" si="46"/>
        <v>#N/A</v>
      </c>
      <c r="V78" s="438">
        <f t="shared" si="47"/>
        <v>0</v>
      </c>
      <c r="W78" s="438">
        <v>1</v>
      </c>
      <c r="X78" s="439" t="e">
        <f t="shared" si="63"/>
        <v>#N/A</v>
      </c>
      <c r="Y78" s="440" t="e">
        <f t="shared" si="48"/>
        <v>#N/A</v>
      </c>
      <c r="Z78" s="441" t="e">
        <f t="shared" si="49"/>
        <v>#N/A</v>
      </c>
      <c r="AA78" s="442" t="str">
        <f t="shared" si="64"/>
        <v/>
      </c>
      <c r="AB78" s="443" t="str">
        <f t="shared" si="65"/>
        <v/>
      </c>
      <c r="AC78" s="444" t="e">
        <f t="shared" si="50"/>
        <v>#N/A</v>
      </c>
      <c r="AD78" s="445" t="e">
        <f t="shared" si="51"/>
        <v>#N/A</v>
      </c>
      <c r="AE78" s="446" t="e">
        <f t="shared" si="52"/>
        <v>#N/A</v>
      </c>
      <c r="AF78" s="446" t="e">
        <f t="shared" si="53"/>
        <v>#N/A</v>
      </c>
      <c r="AG78" s="436">
        <v>0</v>
      </c>
      <c r="AH78" s="447">
        <f t="shared" si="54"/>
        <v>0</v>
      </c>
      <c r="AI78" s="436">
        <v>0</v>
      </c>
      <c r="AJ78" s="448">
        <f t="shared" si="55"/>
        <v>0</v>
      </c>
      <c r="AL78" s="435" t="str">
        <f t="shared" si="66"/>
        <v/>
      </c>
      <c r="AM78" s="436">
        <f t="shared" si="67"/>
        <v>77</v>
      </c>
      <c r="AN78" s="437">
        <f>rents!Q82</f>
        <v>0</v>
      </c>
      <c r="AO78" s="438">
        <v>1</v>
      </c>
      <c r="AP78" s="438">
        <v>1</v>
      </c>
      <c r="AQ78" s="439">
        <f t="shared" si="68"/>
        <v>1</v>
      </c>
      <c r="AR78" s="440">
        <f>rents!R82</f>
        <v>0</v>
      </c>
      <c r="AS78" s="441">
        <f t="shared" si="56"/>
        <v>0</v>
      </c>
      <c r="AT78" s="442" t="e" cm="1">
        <f t="array" ref="AT78">CONCATENATE(_xlfn.IFS(rents!C82=1,"HTF",rents!D82=1,"HOME",rents!E82=1,"Lead Paint",rents!F82=1,"Project Based Assistance",rents!G82=1,"Tax Credit",rents!H82=1,"VHCB",rents!I82=1,"ADA Mobility",rents!J82=1,"ADA A/V",rents!K82=1, "Adaptable",rents!L82=1,"General",rents!M82=1,"Age Restricted",rents!N82=1,rents!$N$4,rents!O82=1,rents!$O$4,rents!P82=1,"Unrestricted"), ", ",
_xlfn.IFS(rents!V82=1,"30% AMI",rents!W82=1,"40% AMI",rents!X82=1,"50% AMI",rents!Y82=1,"60% AMI",rents!Z82=1,"70% AMI",rents!AA82=1,"80% AMI",rents!AB82=1,"100% AMI",rents!AC82=1,"Market Rate"))</f>
        <v>#N/A</v>
      </c>
      <c r="AU78" s="443" t="e">
        <f t="shared" si="69"/>
        <v>#N/A</v>
      </c>
      <c r="AV78" s="444">
        <f>rents!U82</f>
        <v>0</v>
      </c>
      <c r="AW78" s="445">
        <f>rents!T82</f>
        <v>0</v>
      </c>
      <c r="AX78" s="446">
        <f t="shared" si="57"/>
        <v>0</v>
      </c>
      <c r="AY78" s="446">
        <f t="shared" si="58"/>
        <v>0</v>
      </c>
      <c r="AZ78" s="436">
        <v>67</v>
      </c>
      <c r="BA78" s="447">
        <f t="shared" si="59"/>
        <v>1</v>
      </c>
      <c r="BB78" s="436">
        <v>67</v>
      </c>
      <c r="BC78" s="448">
        <f t="shared" si="60"/>
        <v>1</v>
      </c>
    </row>
    <row r="79" spans="11:55" ht="14.25" customHeight="1">
      <c r="K79" s="434" t="str">
        <f t="shared" si="61"/>
        <v/>
      </c>
      <c r="S79" s="435"/>
      <c r="T79" s="436">
        <f t="shared" si="62"/>
        <v>78</v>
      </c>
      <c r="U79" s="437" t="e">
        <f t="shared" si="46"/>
        <v>#N/A</v>
      </c>
      <c r="V79" s="438">
        <f t="shared" si="47"/>
        <v>0</v>
      </c>
      <c r="W79" s="438">
        <v>1</v>
      </c>
      <c r="X79" s="439" t="e">
        <f t="shared" si="63"/>
        <v>#N/A</v>
      </c>
      <c r="Y79" s="440" t="e">
        <f t="shared" si="48"/>
        <v>#N/A</v>
      </c>
      <c r="Z79" s="441" t="e">
        <f t="shared" si="49"/>
        <v>#N/A</v>
      </c>
      <c r="AA79" s="442" t="str">
        <f t="shared" si="64"/>
        <v/>
      </c>
      <c r="AB79" s="443" t="str">
        <f t="shared" si="65"/>
        <v/>
      </c>
      <c r="AC79" s="444" t="e">
        <f t="shared" si="50"/>
        <v>#N/A</v>
      </c>
      <c r="AD79" s="445" t="e">
        <f t="shared" si="51"/>
        <v>#N/A</v>
      </c>
      <c r="AE79" s="446" t="e">
        <f t="shared" si="52"/>
        <v>#N/A</v>
      </c>
      <c r="AF79" s="446" t="e">
        <f t="shared" si="53"/>
        <v>#N/A</v>
      </c>
      <c r="AG79" s="436">
        <v>0</v>
      </c>
      <c r="AH79" s="447">
        <f t="shared" si="54"/>
        <v>0</v>
      </c>
      <c r="AI79" s="436">
        <v>0</v>
      </c>
      <c r="AJ79" s="448">
        <f t="shared" si="55"/>
        <v>0</v>
      </c>
      <c r="AL79" s="435" t="str">
        <f t="shared" si="66"/>
        <v/>
      </c>
      <c r="AM79" s="436">
        <f t="shared" si="67"/>
        <v>78</v>
      </c>
      <c r="AN79" s="437">
        <f>rents!Q83</f>
        <v>0</v>
      </c>
      <c r="AO79" s="438">
        <v>1</v>
      </c>
      <c r="AP79" s="438">
        <v>1</v>
      </c>
      <c r="AQ79" s="439">
        <f t="shared" si="68"/>
        <v>1</v>
      </c>
      <c r="AR79" s="440">
        <f>rents!R83</f>
        <v>0</v>
      </c>
      <c r="AS79" s="441">
        <f t="shared" si="56"/>
        <v>0</v>
      </c>
      <c r="AT79" s="442" t="e" cm="1">
        <f t="array" ref="AT79">CONCATENATE(_xlfn.IFS(rents!C83=1,"HTF",rents!D83=1,"HOME",rents!E83=1,"Lead Paint",rents!F83=1,"Project Based Assistance",rents!G83=1,"Tax Credit",rents!H83=1,"VHCB",rents!I83=1,"ADA Mobility",rents!J83=1,"ADA A/V",rents!K83=1, "Adaptable",rents!L83=1,"General",rents!M83=1,"Age Restricted",rents!N83=1,rents!$N$4,rents!O83=1,rents!$O$4,rents!P83=1,"Unrestricted"), ", ",
_xlfn.IFS(rents!V83=1,"30% AMI",rents!W83=1,"40% AMI",rents!X83=1,"50% AMI",rents!Y83=1,"60% AMI",rents!Z83=1,"70% AMI",rents!AA83=1,"80% AMI",rents!AB83=1,"100% AMI",rents!AC83=1,"Market Rate"))</f>
        <v>#N/A</v>
      </c>
      <c r="AU79" s="443" t="e">
        <f t="shared" si="69"/>
        <v>#N/A</v>
      </c>
      <c r="AV79" s="444">
        <f>rents!U83</f>
        <v>0</v>
      </c>
      <c r="AW79" s="445">
        <f>rents!T83</f>
        <v>0</v>
      </c>
      <c r="AX79" s="446">
        <f t="shared" si="57"/>
        <v>0</v>
      </c>
      <c r="AY79" s="446">
        <f t="shared" si="58"/>
        <v>0</v>
      </c>
      <c r="AZ79" s="436">
        <v>68</v>
      </c>
      <c r="BA79" s="447">
        <f t="shared" si="59"/>
        <v>1</v>
      </c>
      <c r="BB79" s="436">
        <v>68</v>
      </c>
      <c r="BC79" s="448">
        <f t="shared" si="60"/>
        <v>1</v>
      </c>
    </row>
    <row r="80" spans="11:55" ht="14.25" customHeight="1">
      <c r="K80" s="434" t="str">
        <f t="shared" si="61"/>
        <v/>
      </c>
      <c r="S80" s="435"/>
      <c r="T80" s="436">
        <f t="shared" si="62"/>
        <v>79</v>
      </c>
      <c r="U80" s="437" t="e">
        <f t="shared" si="46"/>
        <v>#N/A</v>
      </c>
      <c r="V80" s="438">
        <f t="shared" si="47"/>
        <v>0</v>
      </c>
      <c r="W80" s="438">
        <v>1</v>
      </c>
      <c r="X80" s="439" t="e">
        <f t="shared" si="63"/>
        <v>#N/A</v>
      </c>
      <c r="Y80" s="440" t="e">
        <f t="shared" si="48"/>
        <v>#N/A</v>
      </c>
      <c r="Z80" s="441" t="e">
        <f t="shared" si="49"/>
        <v>#N/A</v>
      </c>
      <c r="AA80" s="442" t="str">
        <f t="shared" si="64"/>
        <v/>
      </c>
      <c r="AB80" s="443" t="str">
        <f t="shared" si="65"/>
        <v/>
      </c>
      <c r="AC80" s="444" t="e">
        <f t="shared" si="50"/>
        <v>#N/A</v>
      </c>
      <c r="AD80" s="445" t="e">
        <f t="shared" si="51"/>
        <v>#N/A</v>
      </c>
      <c r="AE80" s="446" t="e">
        <f t="shared" si="52"/>
        <v>#N/A</v>
      </c>
      <c r="AF80" s="446" t="e">
        <f t="shared" si="53"/>
        <v>#N/A</v>
      </c>
      <c r="AG80" s="436">
        <v>0</v>
      </c>
      <c r="AH80" s="447">
        <f t="shared" si="54"/>
        <v>0</v>
      </c>
      <c r="AI80" s="436">
        <v>0</v>
      </c>
      <c r="AJ80" s="448">
        <f t="shared" si="55"/>
        <v>0</v>
      </c>
      <c r="AL80" s="435" t="str">
        <f t="shared" si="66"/>
        <v/>
      </c>
      <c r="AM80" s="436">
        <f t="shared" si="67"/>
        <v>79</v>
      </c>
      <c r="AN80" s="437">
        <f>rents!Q84</f>
        <v>0</v>
      </c>
      <c r="AO80" s="438">
        <v>1</v>
      </c>
      <c r="AP80" s="438">
        <v>1</v>
      </c>
      <c r="AQ80" s="439">
        <f t="shared" si="68"/>
        <v>1</v>
      </c>
      <c r="AR80" s="440">
        <f>rents!R84</f>
        <v>0</v>
      </c>
      <c r="AS80" s="441">
        <f t="shared" si="56"/>
        <v>0</v>
      </c>
      <c r="AT80" s="442" t="e" cm="1">
        <f t="array" ref="AT80">CONCATENATE(_xlfn.IFS(rents!C84=1,"HTF",rents!D84=1,"HOME",rents!E84=1,"Lead Paint",rents!F84=1,"Project Based Assistance",rents!G84=1,"Tax Credit",rents!H84=1,"VHCB",rents!I84=1,"ADA Mobility",rents!J84=1,"ADA A/V",rents!K84=1, "Adaptable",rents!L84=1,"General",rents!M84=1,"Age Restricted",rents!N84=1,rents!$N$4,rents!O84=1,rents!$O$4,rents!P84=1,"Unrestricted"), ", ",
_xlfn.IFS(rents!V84=1,"30% AMI",rents!W84=1,"40% AMI",rents!X84=1,"50% AMI",rents!Y84=1,"60% AMI",rents!Z84=1,"70% AMI",rents!AA84=1,"80% AMI",rents!AB84=1,"100% AMI",rents!AC84=1,"Market Rate"))</f>
        <v>#N/A</v>
      </c>
      <c r="AU80" s="443" t="e">
        <f t="shared" si="69"/>
        <v>#N/A</v>
      </c>
      <c r="AV80" s="444">
        <f>rents!U84</f>
        <v>0</v>
      </c>
      <c r="AW80" s="445">
        <f>rents!T84</f>
        <v>0</v>
      </c>
      <c r="AX80" s="446">
        <f t="shared" si="57"/>
        <v>0</v>
      </c>
      <c r="AY80" s="446">
        <f t="shared" si="58"/>
        <v>0</v>
      </c>
      <c r="AZ80" s="436">
        <v>69</v>
      </c>
      <c r="BA80" s="447">
        <f t="shared" si="59"/>
        <v>1</v>
      </c>
      <c r="BB80" s="436">
        <v>69</v>
      </c>
      <c r="BC80" s="448">
        <f t="shared" si="60"/>
        <v>1</v>
      </c>
    </row>
    <row r="81" spans="11:55" ht="14.25" customHeight="1">
      <c r="K81" s="434" t="str">
        <f t="shared" si="61"/>
        <v/>
      </c>
      <c r="S81" s="435"/>
      <c r="T81" s="436">
        <f t="shared" si="62"/>
        <v>80</v>
      </c>
      <c r="U81" s="437" t="e">
        <f t="shared" si="46"/>
        <v>#N/A</v>
      </c>
      <c r="V81" s="438">
        <f t="shared" si="47"/>
        <v>0</v>
      </c>
      <c r="W81" s="438">
        <v>1</v>
      </c>
      <c r="X81" s="439" t="e">
        <f t="shared" si="63"/>
        <v>#N/A</v>
      </c>
      <c r="Y81" s="440" t="e">
        <f t="shared" si="48"/>
        <v>#N/A</v>
      </c>
      <c r="Z81" s="441" t="e">
        <f t="shared" si="49"/>
        <v>#N/A</v>
      </c>
      <c r="AA81" s="442" t="str">
        <f t="shared" si="64"/>
        <v/>
      </c>
      <c r="AB81" s="443" t="str">
        <f t="shared" si="65"/>
        <v/>
      </c>
      <c r="AC81" s="444" t="e">
        <f t="shared" si="50"/>
        <v>#N/A</v>
      </c>
      <c r="AD81" s="445" t="e">
        <f t="shared" si="51"/>
        <v>#N/A</v>
      </c>
      <c r="AE81" s="446" t="e">
        <f t="shared" si="52"/>
        <v>#N/A</v>
      </c>
      <c r="AF81" s="446" t="e">
        <f t="shared" si="53"/>
        <v>#N/A</v>
      </c>
      <c r="AG81" s="436">
        <v>0</v>
      </c>
      <c r="AH81" s="447">
        <f t="shared" si="54"/>
        <v>0</v>
      </c>
      <c r="AI81" s="436">
        <v>0</v>
      </c>
      <c r="AJ81" s="448">
        <f t="shared" si="55"/>
        <v>0</v>
      </c>
      <c r="AL81" s="435" t="str">
        <f t="shared" si="66"/>
        <v/>
      </c>
      <c r="AM81" s="436">
        <f t="shared" si="67"/>
        <v>80</v>
      </c>
      <c r="AN81" s="437">
        <f>rents!Q85</f>
        <v>0</v>
      </c>
      <c r="AO81" s="438">
        <v>1</v>
      </c>
      <c r="AP81" s="438">
        <v>1</v>
      </c>
      <c r="AQ81" s="439">
        <f t="shared" si="68"/>
        <v>1</v>
      </c>
      <c r="AR81" s="440">
        <f>rents!R85</f>
        <v>0</v>
      </c>
      <c r="AS81" s="441">
        <f t="shared" si="56"/>
        <v>0</v>
      </c>
      <c r="AT81" s="442" t="e" cm="1">
        <f t="array" ref="AT81">CONCATENATE(_xlfn.IFS(rents!C85=1,"HTF",rents!D85=1,"HOME",rents!E85=1,"Lead Paint",rents!F85=1,"Project Based Assistance",rents!G85=1,"Tax Credit",rents!H85=1,"VHCB",rents!I85=1,"ADA Mobility",rents!J85=1,"ADA A/V",rents!K85=1, "Adaptable",rents!L85=1,"General",rents!M85=1,"Age Restricted",rents!N85=1,rents!$N$4,rents!O85=1,rents!$O$4,rents!P85=1,"Unrestricted"), ", ",
_xlfn.IFS(rents!V85=1,"30% AMI",rents!W85=1,"40% AMI",rents!X85=1,"50% AMI",rents!Y85=1,"60% AMI",rents!Z85=1,"70% AMI",rents!AA85=1,"80% AMI",rents!AB85=1,"100% AMI",rents!AC85=1,"Market Rate"))</f>
        <v>#N/A</v>
      </c>
      <c r="AU81" s="443" t="e">
        <f t="shared" si="69"/>
        <v>#N/A</v>
      </c>
      <c r="AV81" s="444">
        <f>rents!U85</f>
        <v>0</v>
      </c>
      <c r="AW81" s="445">
        <f>rents!T85</f>
        <v>0</v>
      </c>
      <c r="AX81" s="446">
        <f t="shared" si="57"/>
        <v>0</v>
      </c>
      <c r="AY81" s="446">
        <f t="shared" si="58"/>
        <v>0</v>
      </c>
      <c r="AZ81" s="436">
        <v>70</v>
      </c>
      <c r="BA81" s="447">
        <f t="shared" si="59"/>
        <v>1</v>
      </c>
      <c r="BB81" s="436">
        <v>70</v>
      </c>
      <c r="BC81" s="448">
        <f t="shared" si="60"/>
        <v>1</v>
      </c>
    </row>
    <row r="82" spans="11:55" ht="14.25" customHeight="1">
      <c r="K82" s="434" t="str">
        <f t="shared" si="61"/>
        <v/>
      </c>
      <c r="S82" s="435"/>
      <c r="T82" s="436">
        <f t="shared" si="62"/>
        <v>81</v>
      </c>
      <c r="U82" s="437" t="e">
        <f t="shared" si="46"/>
        <v>#N/A</v>
      </c>
      <c r="V82" s="438">
        <f t="shared" si="47"/>
        <v>0</v>
      </c>
      <c r="W82" s="438">
        <v>1</v>
      </c>
      <c r="X82" s="439" t="e">
        <f t="shared" si="63"/>
        <v>#N/A</v>
      </c>
      <c r="Y82" s="440" t="e">
        <f t="shared" si="48"/>
        <v>#N/A</v>
      </c>
      <c r="Z82" s="441" t="e">
        <f t="shared" si="49"/>
        <v>#N/A</v>
      </c>
      <c r="AA82" s="442" t="str">
        <f t="shared" si="64"/>
        <v/>
      </c>
      <c r="AB82" s="443" t="str">
        <f t="shared" si="65"/>
        <v/>
      </c>
      <c r="AC82" s="444" t="e">
        <f t="shared" si="50"/>
        <v>#N/A</v>
      </c>
      <c r="AD82" s="445" t="e">
        <f t="shared" si="51"/>
        <v>#N/A</v>
      </c>
      <c r="AE82" s="446" t="e">
        <f t="shared" si="52"/>
        <v>#N/A</v>
      </c>
      <c r="AF82" s="446" t="e">
        <f t="shared" si="53"/>
        <v>#N/A</v>
      </c>
      <c r="AG82" s="436">
        <v>0</v>
      </c>
      <c r="AH82" s="447">
        <f t="shared" si="54"/>
        <v>0</v>
      </c>
      <c r="AI82" s="436">
        <v>0</v>
      </c>
      <c r="AJ82" s="448">
        <f t="shared" si="55"/>
        <v>0</v>
      </c>
      <c r="AL82" s="435" t="str">
        <f t="shared" si="66"/>
        <v/>
      </c>
      <c r="AM82" s="436">
        <f t="shared" si="67"/>
        <v>81</v>
      </c>
      <c r="AN82" s="437">
        <f>rents!Q86</f>
        <v>0</v>
      </c>
      <c r="AO82" s="438">
        <v>1</v>
      </c>
      <c r="AP82" s="438">
        <v>1</v>
      </c>
      <c r="AQ82" s="439">
        <f t="shared" si="68"/>
        <v>1</v>
      </c>
      <c r="AR82" s="440">
        <f>rents!R86</f>
        <v>0</v>
      </c>
      <c r="AS82" s="441">
        <f t="shared" si="56"/>
        <v>0</v>
      </c>
      <c r="AT82" s="442" t="e" cm="1">
        <f t="array" ref="AT82">CONCATENATE(_xlfn.IFS(rents!C86=1,"HTF",rents!D86=1,"HOME",rents!E86=1,"Lead Paint",rents!F86=1,"Project Based Assistance",rents!G86=1,"Tax Credit",rents!H86=1,"VHCB",rents!I86=1,"ADA Mobility",rents!J86=1,"ADA A/V",rents!K86=1, "Adaptable",rents!L86=1,"General",rents!M86=1,"Age Restricted",rents!N86=1,rents!$N$4,rents!O86=1,rents!$O$4,rents!P86=1,"Unrestricted"), ", ",
_xlfn.IFS(rents!V86=1,"30% AMI",rents!W86=1,"40% AMI",rents!X86=1,"50% AMI",rents!Y86=1,"60% AMI",rents!Z86=1,"70% AMI",rents!AA86=1,"80% AMI",rents!AB86=1,"100% AMI",rents!AC86=1,"Market Rate"))</f>
        <v>#N/A</v>
      </c>
      <c r="AU82" s="443" t="e">
        <f t="shared" si="69"/>
        <v>#N/A</v>
      </c>
      <c r="AV82" s="444">
        <f>rents!U86</f>
        <v>0</v>
      </c>
      <c r="AW82" s="445">
        <f>rents!T86</f>
        <v>0</v>
      </c>
      <c r="AX82" s="446">
        <f t="shared" si="57"/>
        <v>0</v>
      </c>
      <c r="AY82" s="446">
        <f t="shared" si="58"/>
        <v>0</v>
      </c>
      <c r="AZ82" s="436">
        <v>71</v>
      </c>
      <c r="BA82" s="447">
        <f t="shared" si="59"/>
        <v>1</v>
      </c>
      <c r="BB82" s="436">
        <v>71</v>
      </c>
      <c r="BC82" s="448">
        <f t="shared" si="60"/>
        <v>1</v>
      </c>
    </row>
    <row r="83" spans="11:55" ht="14.25" customHeight="1">
      <c r="K83" s="434" t="str">
        <f t="shared" si="61"/>
        <v/>
      </c>
      <c r="S83" s="435"/>
      <c r="T83" s="436">
        <f t="shared" si="62"/>
        <v>82</v>
      </c>
      <c r="U83" s="437" t="e">
        <f t="shared" si="46"/>
        <v>#N/A</v>
      </c>
      <c r="V83" s="438">
        <f t="shared" si="47"/>
        <v>0</v>
      </c>
      <c r="W83" s="438">
        <v>1</v>
      </c>
      <c r="X83" s="439" t="e">
        <f t="shared" si="63"/>
        <v>#N/A</v>
      </c>
      <c r="Y83" s="440" t="e">
        <f t="shared" si="48"/>
        <v>#N/A</v>
      </c>
      <c r="Z83" s="441" t="e">
        <f t="shared" si="49"/>
        <v>#N/A</v>
      </c>
      <c r="AA83" s="442" t="str">
        <f t="shared" si="64"/>
        <v/>
      </c>
      <c r="AB83" s="443" t="str">
        <f t="shared" si="65"/>
        <v/>
      </c>
      <c r="AC83" s="444" t="e">
        <f t="shared" si="50"/>
        <v>#N/A</v>
      </c>
      <c r="AD83" s="445" t="e">
        <f t="shared" si="51"/>
        <v>#N/A</v>
      </c>
      <c r="AE83" s="446" t="e">
        <f t="shared" si="52"/>
        <v>#N/A</v>
      </c>
      <c r="AF83" s="446" t="e">
        <f t="shared" si="53"/>
        <v>#N/A</v>
      </c>
      <c r="AG83" s="436">
        <v>0</v>
      </c>
      <c r="AH83" s="447">
        <f t="shared" si="54"/>
        <v>0</v>
      </c>
      <c r="AI83" s="436">
        <v>0</v>
      </c>
      <c r="AJ83" s="448">
        <f t="shared" si="55"/>
        <v>0</v>
      </c>
      <c r="AL83" s="435" t="str">
        <f t="shared" si="66"/>
        <v/>
      </c>
      <c r="AM83" s="436">
        <f t="shared" si="67"/>
        <v>82</v>
      </c>
      <c r="AN83" s="437">
        <f>rents!Q87</f>
        <v>0</v>
      </c>
      <c r="AO83" s="438">
        <v>1</v>
      </c>
      <c r="AP83" s="438">
        <v>1</v>
      </c>
      <c r="AQ83" s="439">
        <f t="shared" si="68"/>
        <v>1</v>
      </c>
      <c r="AR83" s="440">
        <f>rents!R87</f>
        <v>0</v>
      </c>
      <c r="AS83" s="441">
        <f t="shared" si="56"/>
        <v>0</v>
      </c>
      <c r="AT83" s="442" t="e" cm="1">
        <f t="array" ref="AT83">CONCATENATE(_xlfn.IFS(rents!C87=1,"HTF",rents!D87=1,"HOME",rents!E87=1,"Lead Paint",rents!F87=1,"Project Based Assistance",rents!G87=1,"Tax Credit",rents!H87=1,"VHCB",rents!I87=1,"ADA Mobility",rents!J87=1,"ADA A/V",rents!K87=1, "Adaptable",rents!L87=1,"General",rents!M87=1,"Age Restricted",rents!N87=1,rents!$N$4,rents!O87=1,rents!$O$4,rents!P87=1,"Unrestricted"), ", ",
_xlfn.IFS(rents!V87=1,"30% AMI",rents!W87=1,"40% AMI",rents!X87=1,"50% AMI",rents!Y87=1,"60% AMI",rents!Z87=1,"70% AMI",rents!AA87=1,"80% AMI",rents!AB87=1,"100% AMI",rents!AC87=1,"Market Rate"))</f>
        <v>#N/A</v>
      </c>
      <c r="AU83" s="443" t="e">
        <f t="shared" si="69"/>
        <v>#N/A</v>
      </c>
      <c r="AV83" s="444">
        <f>rents!U87</f>
        <v>0</v>
      </c>
      <c r="AW83" s="445">
        <f>rents!T87</f>
        <v>0</v>
      </c>
      <c r="AX83" s="446">
        <f t="shared" si="57"/>
        <v>0</v>
      </c>
      <c r="AY83" s="446">
        <f t="shared" si="58"/>
        <v>0</v>
      </c>
      <c r="AZ83" s="436">
        <v>72</v>
      </c>
      <c r="BA83" s="447">
        <f t="shared" si="59"/>
        <v>1</v>
      </c>
      <c r="BB83" s="436">
        <v>72</v>
      </c>
      <c r="BC83" s="448">
        <f t="shared" si="60"/>
        <v>1</v>
      </c>
    </row>
    <row r="84" spans="11:55" ht="14.25" customHeight="1">
      <c r="K84" s="434" t="str">
        <f t="shared" si="61"/>
        <v/>
      </c>
      <c r="S84" s="435"/>
      <c r="T84" s="436">
        <f t="shared" si="62"/>
        <v>83</v>
      </c>
      <c r="U84" s="437" t="e">
        <f t="shared" si="46"/>
        <v>#N/A</v>
      </c>
      <c r="V84" s="438">
        <f t="shared" si="47"/>
        <v>0</v>
      </c>
      <c r="W84" s="438">
        <v>1</v>
      </c>
      <c r="X84" s="439" t="e">
        <f t="shared" si="63"/>
        <v>#N/A</v>
      </c>
      <c r="Y84" s="440" t="e">
        <f t="shared" si="48"/>
        <v>#N/A</v>
      </c>
      <c r="Z84" s="441" t="e">
        <f t="shared" si="49"/>
        <v>#N/A</v>
      </c>
      <c r="AA84" s="442" t="str">
        <f t="shared" si="64"/>
        <v/>
      </c>
      <c r="AB84" s="443" t="str">
        <f t="shared" si="65"/>
        <v/>
      </c>
      <c r="AC84" s="444" t="e">
        <f t="shared" si="50"/>
        <v>#N/A</v>
      </c>
      <c r="AD84" s="445" t="e">
        <f t="shared" si="51"/>
        <v>#N/A</v>
      </c>
      <c r="AE84" s="446" t="e">
        <f t="shared" si="52"/>
        <v>#N/A</v>
      </c>
      <c r="AF84" s="446" t="e">
        <f t="shared" si="53"/>
        <v>#N/A</v>
      </c>
      <c r="AG84" s="436">
        <v>0</v>
      </c>
      <c r="AH84" s="447">
        <f t="shared" si="54"/>
        <v>0</v>
      </c>
      <c r="AI84" s="436">
        <v>0</v>
      </c>
      <c r="AJ84" s="448">
        <f t="shared" si="55"/>
        <v>0</v>
      </c>
      <c r="AL84" s="435" t="str">
        <f t="shared" si="66"/>
        <v/>
      </c>
      <c r="AM84" s="436">
        <f t="shared" si="67"/>
        <v>83</v>
      </c>
      <c r="AN84" s="437">
        <f>rents!Q88</f>
        <v>0</v>
      </c>
      <c r="AO84" s="438">
        <v>1</v>
      </c>
      <c r="AP84" s="438">
        <v>1</v>
      </c>
      <c r="AQ84" s="439">
        <f t="shared" si="68"/>
        <v>1</v>
      </c>
      <c r="AR84" s="440">
        <f>rents!R88</f>
        <v>0</v>
      </c>
      <c r="AS84" s="441">
        <f t="shared" si="56"/>
        <v>0</v>
      </c>
      <c r="AT84" s="442" t="e" cm="1">
        <f t="array" ref="AT84">CONCATENATE(_xlfn.IFS(rents!C88=1,"HTF",rents!D88=1,"HOME",rents!E88=1,"Lead Paint",rents!F88=1,"Project Based Assistance",rents!G88=1,"Tax Credit",rents!H88=1,"VHCB",rents!I88=1,"ADA Mobility",rents!J88=1,"ADA A/V",rents!K88=1, "Adaptable",rents!L88=1,"General",rents!M88=1,"Age Restricted",rents!N88=1,rents!$N$4,rents!O88=1,rents!$O$4,rents!P88=1,"Unrestricted"), ", ",
_xlfn.IFS(rents!V88=1,"30% AMI",rents!W88=1,"40% AMI",rents!X88=1,"50% AMI",rents!Y88=1,"60% AMI",rents!Z88=1,"70% AMI",rents!AA88=1,"80% AMI",rents!AB88=1,"100% AMI",rents!AC88=1,"Market Rate"))</f>
        <v>#N/A</v>
      </c>
      <c r="AU84" s="443" t="e">
        <f t="shared" si="69"/>
        <v>#N/A</v>
      </c>
      <c r="AV84" s="444">
        <f>rents!U88</f>
        <v>0</v>
      </c>
      <c r="AW84" s="445">
        <f>rents!T88</f>
        <v>0</v>
      </c>
      <c r="AX84" s="446">
        <f t="shared" si="57"/>
        <v>0</v>
      </c>
      <c r="AY84" s="446">
        <f t="shared" si="58"/>
        <v>0</v>
      </c>
      <c r="AZ84" s="436">
        <v>73</v>
      </c>
      <c r="BA84" s="447">
        <f t="shared" si="59"/>
        <v>1</v>
      </c>
      <c r="BB84" s="436">
        <v>73</v>
      </c>
      <c r="BC84" s="448">
        <f t="shared" si="60"/>
        <v>1</v>
      </c>
    </row>
    <row r="85" spans="11:55" ht="14.25" customHeight="1">
      <c r="K85" s="434" t="str">
        <f t="shared" si="61"/>
        <v/>
      </c>
      <c r="S85" s="435"/>
      <c r="T85" s="436">
        <f t="shared" si="62"/>
        <v>84</v>
      </c>
      <c r="U85" s="437" t="e">
        <f t="shared" si="46"/>
        <v>#N/A</v>
      </c>
      <c r="V85" s="438">
        <f t="shared" si="47"/>
        <v>0</v>
      </c>
      <c r="W85" s="438">
        <v>1</v>
      </c>
      <c r="X85" s="439" t="e">
        <f t="shared" si="63"/>
        <v>#N/A</v>
      </c>
      <c r="Y85" s="440" t="e">
        <f t="shared" si="48"/>
        <v>#N/A</v>
      </c>
      <c r="Z85" s="441" t="e">
        <f t="shared" si="49"/>
        <v>#N/A</v>
      </c>
      <c r="AA85" s="442" t="str">
        <f t="shared" si="64"/>
        <v/>
      </c>
      <c r="AB85" s="443" t="str">
        <f t="shared" si="65"/>
        <v/>
      </c>
      <c r="AC85" s="444" t="e">
        <f t="shared" si="50"/>
        <v>#N/A</v>
      </c>
      <c r="AD85" s="445" t="e">
        <f t="shared" si="51"/>
        <v>#N/A</v>
      </c>
      <c r="AE85" s="446" t="e">
        <f t="shared" si="52"/>
        <v>#N/A</v>
      </c>
      <c r="AF85" s="446" t="e">
        <f t="shared" si="53"/>
        <v>#N/A</v>
      </c>
      <c r="AG85" s="436">
        <v>0</v>
      </c>
      <c r="AH85" s="447">
        <f t="shared" si="54"/>
        <v>0</v>
      </c>
      <c r="AI85" s="436">
        <v>0</v>
      </c>
      <c r="AJ85" s="448">
        <f t="shared" si="55"/>
        <v>0</v>
      </c>
      <c r="AL85" s="435" t="str">
        <f t="shared" si="66"/>
        <v/>
      </c>
      <c r="AM85" s="436">
        <f t="shared" si="67"/>
        <v>84</v>
      </c>
      <c r="AN85" s="437">
        <f>rents!Q89</f>
        <v>0</v>
      </c>
      <c r="AO85" s="438">
        <v>1</v>
      </c>
      <c r="AP85" s="438">
        <v>1</v>
      </c>
      <c r="AQ85" s="439">
        <f t="shared" si="68"/>
        <v>1</v>
      </c>
      <c r="AR85" s="440">
        <f>rents!R89</f>
        <v>0</v>
      </c>
      <c r="AS85" s="441">
        <f t="shared" si="56"/>
        <v>0</v>
      </c>
      <c r="AT85" s="442" t="e" cm="1">
        <f t="array" ref="AT85">CONCATENATE(_xlfn.IFS(rents!C89=1,"HTF",rents!D89=1,"HOME",rents!E89=1,"Lead Paint",rents!F89=1,"Project Based Assistance",rents!G89=1,"Tax Credit",rents!H89=1,"VHCB",rents!I89=1,"ADA Mobility",rents!J89=1,"ADA A/V",rents!K89=1, "Adaptable",rents!L89=1,"General",rents!M89=1,"Age Restricted",rents!N89=1,rents!$N$4,rents!O89=1,rents!$O$4,rents!P89=1,"Unrestricted"), ", ",
_xlfn.IFS(rents!V89=1,"30% AMI",rents!W89=1,"40% AMI",rents!X89=1,"50% AMI",rents!Y89=1,"60% AMI",rents!Z89=1,"70% AMI",rents!AA89=1,"80% AMI",rents!AB89=1,"100% AMI",rents!AC89=1,"Market Rate"))</f>
        <v>#N/A</v>
      </c>
      <c r="AU85" s="443" t="e">
        <f t="shared" si="69"/>
        <v>#N/A</v>
      </c>
      <c r="AV85" s="444">
        <f>rents!U89</f>
        <v>0</v>
      </c>
      <c r="AW85" s="445">
        <f>rents!T89</f>
        <v>0</v>
      </c>
      <c r="AX85" s="446">
        <f t="shared" si="57"/>
        <v>0</v>
      </c>
      <c r="AY85" s="446">
        <f t="shared" si="58"/>
        <v>0</v>
      </c>
      <c r="AZ85" s="436">
        <v>74</v>
      </c>
      <c r="BA85" s="447">
        <f t="shared" si="59"/>
        <v>1</v>
      </c>
      <c r="BB85" s="436">
        <v>74</v>
      </c>
      <c r="BC85" s="448">
        <f t="shared" si="60"/>
        <v>1</v>
      </c>
    </row>
    <row r="86" spans="11:55" ht="14.25" customHeight="1">
      <c r="K86" s="434" t="str">
        <f t="shared" si="61"/>
        <v/>
      </c>
      <c r="S86" s="435"/>
      <c r="T86" s="436">
        <f t="shared" si="62"/>
        <v>85</v>
      </c>
      <c r="U86" s="437" t="e">
        <f t="shared" si="46"/>
        <v>#N/A</v>
      </c>
      <c r="V86" s="438">
        <f t="shared" si="47"/>
        <v>0</v>
      </c>
      <c r="W86" s="438">
        <v>1</v>
      </c>
      <c r="X86" s="439" t="e">
        <f t="shared" si="63"/>
        <v>#N/A</v>
      </c>
      <c r="Y86" s="440" t="e">
        <f t="shared" si="48"/>
        <v>#N/A</v>
      </c>
      <c r="Z86" s="441" t="e">
        <f t="shared" si="49"/>
        <v>#N/A</v>
      </c>
      <c r="AA86" s="442" t="str">
        <f t="shared" si="64"/>
        <v/>
      </c>
      <c r="AB86" s="443" t="str">
        <f t="shared" si="65"/>
        <v/>
      </c>
      <c r="AC86" s="444" t="e">
        <f t="shared" si="50"/>
        <v>#N/A</v>
      </c>
      <c r="AD86" s="445" t="e">
        <f t="shared" si="51"/>
        <v>#N/A</v>
      </c>
      <c r="AE86" s="446" t="e">
        <f t="shared" si="52"/>
        <v>#N/A</v>
      </c>
      <c r="AF86" s="446" t="e">
        <f t="shared" si="53"/>
        <v>#N/A</v>
      </c>
      <c r="AG86" s="436">
        <v>0</v>
      </c>
      <c r="AH86" s="447">
        <f t="shared" si="54"/>
        <v>0</v>
      </c>
      <c r="AI86" s="436">
        <v>0</v>
      </c>
      <c r="AJ86" s="448">
        <f t="shared" si="55"/>
        <v>0</v>
      </c>
      <c r="AL86" s="435" t="str">
        <f t="shared" si="66"/>
        <v/>
      </c>
      <c r="AM86" s="436">
        <f t="shared" si="67"/>
        <v>85</v>
      </c>
      <c r="AN86" s="437">
        <f>rents!Q90</f>
        <v>0</v>
      </c>
      <c r="AO86" s="438">
        <v>1</v>
      </c>
      <c r="AP86" s="438">
        <v>1</v>
      </c>
      <c r="AQ86" s="439">
        <f t="shared" si="68"/>
        <v>1</v>
      </c>
      <c r="AR86" s="440">
        <f>rents!R90</f>
        <v>0</v>
      </c>
      <c r="AS86" s="441">
        <f t="shared" si="56"/>
        <v>0</v>
      </c>
      <c r="AT86" s="442" t="e" cm="1">
        <f t="array" ref="AT86">CONCATENATE(_xlfn.IFS(rents!C90=1,"HTF",rents!D90=1,"HOME",rents!E90=1,"Lead Paint",rents!F90=1,"Project Based Assistance",rents!G90=1,"Tax Credit",rents!H90=1,"VHCB",rents!I90=1,"ADA Mobility",rents!J90=1,"ADA A/V",rents!K90=1, "Adaptable",rents!L90=1,"General",rents!M90=1,"Age Restricted",rents!N90=1,rents!$N$4,rents!O90=1,rents!$O$4,rents!P90=1,"Unrestricted"), ", ",
_xlfn.IFS(rents!V90=1,"30% AMI",rents!W90=1,"40% AMI",rents!X90=1,"50% AMI",rents!Y90=1,"60% AMI",rents!Z90=1,"70% AMI",rents!AA90=1,"80% AMI",rents!AB90=1,"100% AMI",rents!AC90=1,"Market Rate"))</f>
        <v>#N/A</v>
      </c>
      <c r="AU86" s="443" t="e">
        <f t="shared" si="69"/>
        <v>#N/A</v>
      </c>
      <c r="AV86" s="444">
        <f>rents!U90</f>
        <v>0</v>
      </c>
      <c r="AW86" s="445">
        <f>rents!T90</f>
        <v>0</v>
      </c>
      <c r="AX86" s="446">
        <f t="shared" si="57"/>
        <v>0</v>
      </c>
      <c r="AY86" s="446">
        <f t="shared" si="58"/>
        <v>0</v>
      </c>
      <c r="AZ86" s="436">
        <v>75</v>
      </c>
      <c r="BA86" s="447">
        <f t="shared" si="59"/>
        <v>1</v>
      </c>
      <c r="BB86" s="436">
        <v>75</v>
      </c>
      <c r="BC86" s="448">
        <f t="shared" si="60"/>
        <v>1</v>
      </c>
    </row>
    <row r="87" spans="11:55" ht="14.25" customHeight="1">
      <c r="K87" s="434" t="str">
        <f t="shared" si="61"/>
        <v/>
      </c>
      <c r="S87" s="435"/>
      <c r="T87" s="436">
        <f t="shared" si="62"/>
        <v>86</v>
      </c>
      <c r="U87" s="437" t="e">
        <f t="shared" si="46"/>
        <v>#N/A</v>
      </c>
      <c r="V87" s="438">
        <f t="shared" si="47"/>
        <v>0</v>
      </c>
      <c r="W87" s="438">
        <v>1</v>
      </c>
      <c r="X87" s="439" t="e">
        <f t="shared" si="63"/>
        <v>#N/A</v>
      </c>
      <c r="Y87" s="440" t="e">
        <f t="shared" si="48"/>
        <v>#N/A</v>
      </c>
      <c r="Z87" s="441" t="e">
        <f t="shared" si="49"/>
        <v>#N/A</v>
      </c>
      <c r="AA87" s="442" t="str">
        <f t="shared" si="64"/>
        <v/>
      </c>
      <c r="AB87" s="443" t="str">
        <f t="shared" si="65"/>
        <v/>
      </c>
      <c r="AC87" s="444" t="e">
        <f t="shared" si="50"/>
        <v>#N/A</v>
      </c>
      <c r="AD87" s="445" t="e">
        <f t="shared" si="51"/>
        <v>#N/A</v>
      </c>
      <c r="AE87" s="446" t="e">
        <f t="shared" si="52"/>
        <v>#N/A</v>
      </c>
      <c r="AF87" s="446" t="e">
        <f t="shared" si="53"/>
        <v>#N/A</v>
      </c>
      <c r="AG87" s="436">
        <v>0</v>
      </c>
      <c r="AH87" s="447">
        <f t="shared" si="54"/>
        <v>0</v>
      </c>
      <c r="AI87" s="436">
        <v>0</v>
      </c>
      <c r="AJ87" s="448">
        <f t="shared" si="55"/>
        <v>0</v>
      </c>
      <c r="AL87" s="435" t="str">
        <f t="shared" si="66"/>
        <v/>
      </c>
      <c r="AM87" s="436">
        <f t="shared" si="67"/>
        <v>86</v>
      </c>
      <c r="AN87" s="437">
        <f>rents!Q91</f>
        <v>0</v>
      </c>
      <c r="AO87" s="438">
        <v>1</v>
      </c>
      <c r="AP87" s="438">
        <v>1</v>
      </c>
      <c r="AQ87" s="439">
        <f t="shared" si="68"/>
        <v>1</v>
      </c>
      <c r="AR87" s="440">
        <f>rents!R91</f>
        <v>0</v>
      </c>
      <c r="AS87" s="441">
        <f t="shared" si="56"/>
        <v>0</v>
      </c>
      <c r="AT87" s="442" t="e" cm="1">
        <f t="array" ref="AT87">CONCATENATE(_xlfn.IFS(rents!C91=1,"HTF",rents!D91=1,"HOME",rents!E91=1,"Lead Paint",rents!F91=1,"Project Based Assistance",rents!G91=1,"Tax Credit",rents!H91=1,"VHCB",rents!I91=1,"ADA Mobility",rents!J91=1,"ADA A/V",rents!K91=1, "Adaptable",rents!L91=1,"General",rents!M91=1,"Age Restricted",rents!N91=1,rents!$N$4,rents!O91=1,rents!$O$4,rents!P91=1,"Unrestricted"), ", ",
_xlfn.IFS(rents!V91=1,"30% AMI",rents!W91=1,"40% AMI",rents!X91=1,"50% AMI",rents!Y91=1,"60% AMI",rents!Z91=1,"70% AMI",rents!AA91=1,"80% AMI",rents!AB91=1,"100% AMI",rents!AC91=1,"Market Rate"))</f>
        <v>#N/A</v>
      </c>
      <c r="AU87" s="443" t="e">
        <f t="shared" si="69"/>
        <v>#N/A</v>
      </c>
      <c r="AV87" s="444">
        <f>rents!U91</f>
        <v>0</v>
      </c>
      <c r="AW87" s="445">
        <f>rents!T91</f>
        <v>0</v>
      </c>
      <c r="AX87" s="446">
        <f t="shared" si="57"/>
        <v>0</v>
      </c>
      <c r="AY87" s="446">
        <f t="shared" si="58"/>
        <v>0</v>
      </c>
      <c r="AZ87" s="436">
        <v>76</v>
      </c>
      <c r="BA87" s="447">
        <f t="shared" si="59"/>
        <v>1</v>
      </c>
      <c r="BB87" s="436">
        <v>76</v>
      </c>
      <c r="BC87" s="448">
        <f t="shared" si="60"/>
        <v>1</v>
      </c>
    </row>
    <row r="88" spans="11:55" ht="14.25" customHeight="1">
      <c r="K88" s="434" t="str">
        <f t="shared" si="61"/>
        <v/>
      </c>
      <c r="S88" s="435"/>
      <c r="T88" s="436">
        <f t="shared" si="62"/>
        <v>87</v>
      </c>
      <c r="U88" s="437" t="e">
        <f t="shared" si="46"/>
        <v>#N/A</v>
      </c>
      <c r="V88" s="438">
        <f t="shared" si="47"/>
        <v>0</v>
      </c>
      <c r="W88" s="438">
        <v>1</v>
      </c>
      <c r="X88" s="439" t="e">
        <f t="shared" si="63"/>
        <v>#N/A</v>
      </c>
      <c r="Y88" s="440" t="e">
        <f t="shared" si="48"/>
        <v>#N/A</v>
      </c>
      <c r="Z88" s="441" t="e">
        <f t="shared" si="49"/>
        <v>#N/A</v>
      </c>
      <c r="AA88" s="442" t="str">
        <f t="shared" si="64"/>
        <v/>
      </c>
      <c r="AB88" s="443" t="str">
        <f t="shared" si="65"/>
        <v/>
      </c>
      <c r="AC88" s="444" t="e">
        <f t="shared" si="50"/>
        <v>#N/A</v>
      </c>
      <c r="AD88" s="445" t="e">
        <f t="shared" si="51"/>
        <v>#N/A</v>
      </c>
      <c r="AE88" s="446" t="e">
        <f t="shared" si="52"/>
        <v>#N/A</v>
      </c>
      <c r="AF88" s="446" t="e">
        <f t="shared" si="53"/>
        <v>#N/A</v>
      </c>
      <c r="AG88" s="436">
        <v>0</v>
      </c>
      <c r="AH88" s="447">
        <f t="shared" si="54"/>
        <v>0</v>
      </c>
      <c r="AI88" s="436">
        <v>0</v>
      </c>
      <c r="AJ88" s="448">
        <f t="shared" si="55"/>
        <v>0</v>
      </c>
      <c r="AL88" s="435" t="str">
        <f t="shared" si="66"/>
        <v/>
      </c>
      <c r="AM88" s="436">
        <f t="shared" si="67"/>
        <v>87</v>
      </c>
      <c r="AN88" s="437">
        <f>rents!Q92</f>
        <v>0</v>
      </c>
      <c r="AO88" s="438">
        <v>1</v>
      </c>
      <c r="AP88" s="438">
        <v>1</v>
      </c>
      <c r="AQ88" s="439">
        <f t="shared" si="68"/>
        <v>1</v>
      </c>
      <c r="AR88" s="440">
        <f>rents!R92</f>
        <v>0</v>
      </c>
      <c r="AS88" s="441">
        <f t="shared" si="56"/>
        <v>0</v>
      </c>
      <c r="AT88" s="442" t="e" cm="1">
        <f t="array" ref="AT88">CONCATENATE(_xlfn.IFS(rents!C92=1,"HTF",rents!D92=1,"HOME",rents!E92=1,"Lead Paint",rents!F92=1,"Project Based Assistance",rents!G92=1,"Tax Credit",rents!H92=1,"VHCB",rents!I92=1,"ADA Mobility",rents!J92=1,"ADA A/V",rents!K92=1, "Adaptable",rents!L92=1,"General",rents!M92=1,"Age Restricted",rents!N92=1,rents!$N$4,rents!O92=1,rents!$O$4,rents!P92=1,"Unrestricted"), ", ",
_xlfn.IFS(rents!V92=1,"30% AMI",rents!W92=1,"40% AMI",rents!X92=1,"50% AMI",rents!Y92=1,"60% AMI",rents!Z92=1,"70% AMI",rents!AA92=1,"80% AMI",rents!AB92=1,"100% AMI",rents!AC92=1,"Market Rate"))</f>
        <v>#N/A</v>
      </c>
      <c r="AU88" s="443" t="e">
        <f t="shared" si="69"/>
        <v>#N/A</v>
      </c>
      <c r="AV88" s="444">
        <f>rents!U92</f>
        <v>0</v>
      </c>
      <c r="AW88" s="445">
        <f>rents!T92</f>
        <v>0</v>
      </c>
      <c r="AX88" s="446">
        <f t="shared" si="57"/>
        <v>0</v>
      </c>
      <c r="AY88" s="446">
        <f t="shared" si="58"/>
        <v>0</v>
      </c>
      <c r="AZ88" s="436">
        <v>77</v>
      </c>
      <c r="BA88" s="447">
        <f t="shared" si="59"/>
        <v>1</v>
      </c>
      <c r="BB88" s="436">
        <v>77</v>
      </c>
      <c r="BC88" s="448">
        <f t="shared" si="60"/>
        <v>1</v>
      </c>
    </row>
    <row r="89" spans="11:55" ht="14.25" customHeight="1">
      <c r="K89" s="434" t="str">
        <f t="shared" si="61"/>
        <v/>
      </c>
      <c r="S89" s="435"/>
      <c r="T89" s="436">
        <f t="shared" si="62"/>
        <v>88</v>
      </c>
      <c r="U89" s="437" t="e">
        <f t="shared" si="46"/>
        <v>#N/A</v>
      </c>
      <c r="V89" s="438">
        <f t="shared" si="47"/>
        <v>0</v>
      </c>
      <c r="W89" s="438">
        <v>1</v>
      </c>
      <c r="X89" s="439" t="e">
        <f t="shared" si="63"/>
        <v>#N/A</v>
      </c>
      <c r="Y89" s="440" t="e">
        <f t="shared" si="48"/>
        <v>#N/A</v>
      </c>
      <c r="Z89" s="441" t="e">
        <f t="shared" si="49"/>
        <v>#N/A</v>
      </c>
      <c r="AA89" s="442" t="str">
        <f t="shared" si="64"/>
        <v/>
      </c>
      <c r="AB89" s="443" t="str">
        <f t="shared" si="65"/>
        <v/>
      </c>
      <c r="AC89" s="444" t="e">
        <f t="shared" si="50"/>
        <v>#N/A</v>
      </c>
      <c r="AD89" s="445" t="e">
        <f t="shared" si="51"/>
        <v>#N/A</v>
      </c>
      <c r="AE89" s="446" t="e">
        <f t="shared" si="52"/>
        <v>#N/A</v>
      </c>
      <c r="AF89" s="446" t="e">
        <f t="shared" si="53"/>
        <v>#N/A</v>
      </c>
      <c r="AG89" s="436">
        <v>0</v>
      </c>
      <c r="AH89" s="447">
        <f t="shared" si="54"/>
        <v>0</v>
      </c>
      <c r="AI89" s="436">
        <v>0</v>
      </c>
      <c r="AJ89" s="448">
        <f t="shared" si="55"/>
        <v>0</v>
      </c>
      <c r="AL89" s="435" t="str">
        <f t="shared" si="66"/>
        <v/>
      </c>
      <c r="AM89" s="436">
        <f t="shared" si="67"/>
        <v>88</v>
      </c>
      <c r="AN89" s="437">
        <f>rents!Q93</f>
        <v>0</v>
      </c>
      <c r="AO89" s="438">
        <v>1</v>
      </c>
      <c r="AP89" s="438">
        <v>1</v>
      </c>
      <c r="AQ89" s="439">
        <f t="shared" si="68"/>
        <v>1</v>
      </c>
      <c r="AR89" s="440">
        <f>rents!R93</f>
        <v>0</v>
      </c>
      <c r="AS89" s="441">
        <f t="shared" si="56"/>
        <v>0</v>
      </c>
      <c r="AT89" s="442" t="e" cm="1">
        <f t="array" ref="AT89">CONCATENATE(_xlfn.IFS(rents!C93=1,"HTF",rents!D93=1,"HOME",rents!E93=1,"Lead Paint",rents!F93=1,"Project Based Assistance",rents!G93=1,"Tax Credit",rents!H93=1,"VHCB",rents!I93=1,"ADA Mobility",rents!J93=1,"ADA A/V",rents!K93=1, "Adaptable",rents!L93=1,"General",rents!M93=1,"Age Restricted",rents!N93=1,rents!$N$4,rents!O93=1,rents!$O$4,rents!P93=1,"Unrestricted"), ", ",
_xlfn.IFS(rents!V93=1,"30% AMI",rents!W93=1,"40% AMI",rents!X93=1,"50% AMI",rents!Y93=1,"60% AMI",rents!Z93=1,"70% AMI",rents!AA93=1,"80% AMI",rents!AB93=1,"100% AMI",rents!AC93=1,"Market Rate"))</f>
        <v>#N/A</v>
      </c>
      <c r="AU89" s="443" t="e">
        <f t="shared" si="69"/>
        <v>#N/A</v>
      </c>
      <c r="AV89" s="444">
        <f>rents!U93</f>
        <v>0</v>
      </c>
      <c r="AW89" s="445">
        <f>rents!T93</f>
        <v>0</v>
      </c>
      <c r="AX89" s="446">
        <f t="shared" si="57"/>
        <v>0</v>
      </c>
      <c r="AY89" s="446">
        <f t="shared" si="58"/>
        <v>0</v>
      </c>
      <c r="AZ89" s="436">
        <v>78</v>
      </c>
      <c r="BA89" s="447">
        <f t="shared" si="59"/>
        <v>1</v>
      </c>
      <c r="BB89" s="436">
        <v>78</v>
      </c>
      <c r="BC89" s="448">
        <f t="shared" si="60"/>
        <v>1</v>
      </c>
    </row>
    <row r="90" spans="11:55" ht="14.25" customHeight="1">
      <c r="K90" s="434" t="str">
        <f t="shared" si="61"/>
        <v/>
      </c>
      <c r="S90" s="435"/>
      <c r="T90" s="436">
        <f t="shared" si="62"/>
        <v>89</v>
      </c>
      <c r="U90" s="437" t="e">
        <f t="shared" si="46"/>
        <v>#N/A</v>
      </c>
      <c r="V90" s="438">
        <f t="shared" si="47"/>
        <v>0</v>
      </c>
      <c r="W90" s="438">
        <v>1</v>
      </c>
      <c r="X90" s="439" t="e">
        <f t="shared" si="63"/>
        <v>#N/A</v>
      </c>
      <c r="Y90" s="440" t="e">
        <f t="shared" si="48"/>
        <v>#N/A</v>
      </c>
      <c r="Z90" s="441" t="e">
        <f t="shared" si="49"/>
        <v>#N/A</v>
      </c>
      <c r="AA90" s="442" t="str">
        <f t="shared" si="64"/>
        <v/>
      </c>
      <c r="AB90" s="443" t="str">
        <f t="shared" si="65"/>
        <v/>
      </c>
      <c r="AC90" s="444" t="e">
        <f t="shared" si="50"/>
        <v>#N/A</v>
      </c>
      <c r="AD90" s="445" t="e">
        <f t="shared" si="51"/>
        <v>#N/A</v>
      </c>
      <c r="AE90" s="446" t="e">
        <f t="shared" si="52"/>
        <v>#N/A</v>
      </c>
      <c r="AF90" s="446" t="e">
        <f t="shared" si="53"/>
        <v>#N/A</v>
      </c>
      <c r="AG90" s="436">
        <v>0</v>
      </c>
      <c r="AH90" s="447">
        <f t="shared" si="54"/>
        <v>0</v>
      </c>
      <c r="AI90" s="436">
        <v>0</v>
      </c>
      <c r="AJ90" s="448">
        <f t="shared" si="55"/>
        <v>0</v>
      </c>
      <c r="AL90" s="435" t="str">
        <f t="shared" si="66"/>
        <v/>
      </c>
      <c r="AM90" s="436">
        <f t="shared" si="67"/>
        <v>89</v>
      </c>
      <c r="AN90" s="437">
        <f>rents!Q94</f>
        <v>0</v>
      </c>
      <c r="AO90" s="438">
        <v>1</v>
      </c>
      <c r="AP90" s="438">
        <v>1</v>
      </c>
      <c r="AQ90" s="439">
        <f t="shared" si="68"/>
        <v>1</v>
      </c>
      <c r="AR90" s="440">
        <f>rents!R94</f>
        <v>0</v>
      </c>
      <c r="AS90" s="441">
        <f t="shared" si="56"/>
        <v>0</v>
      </c>
      <c r="AT90" s="442" t="e" cm="1">
        <f t="array" ref="AT90">CONCATENATE(_xlfn.IFS(rents!C94=1,"HTF",rents!D94=1,"HOME",rents!E94=1,"Lead Paint",rents!F94=1,"Project Based Assistance",rents!G94=1,"Tax Credit",rents!H94=1,"VHCB",rents!I94=1,"ADA Mobility",rents!J94=1,"ADA A/V",rents!K94=1, "Adaptable",rents!L94=1,"General",rents!M94=1,"Age Restricted",rents!N94=1,rents!$N$4,rents!O94=1,rents!$O$4,rents!P94=1,"Unrestricted"), ", ",
_xlfn.IFS(rents!V94=1,"30% AMI",rents!W94=1,"40% AMI",rents!X94=1,"50% AMI",rents!Y94=1,"60% AMI",rents!Z94=1,"70% AMI",rents!AA94=1,"80% AMI",rents!AB94=1,"100% AMI",rents!AC94=1,"Market Rate"))</f>
        <v>#N/A</v>
      </c>
      <c r="AU90" s="443" t="e">
        <f t="shared" si="69"/>
        <v>#N/A</v>
      </c>
      <c r="AV90" s="444">
        <f>rents!U94</f>
        <v>0</v>
      </c>
      <c r="AW90" s="445">
        <f>rents!T94</f>
        <v>0</v>
      </c>
      <c r="AX90" s="446">
        <f t="shared" si="57"/>
        <v>0</v>
      </c>
      <c r="AY90" s="446">
        <f t="shared" si="58"/>
        <v>0</v>
      </c>
      <c r="AZ90" s="436">
        <v>79</v>
      </c>
      <c r="BA90" s="447">
        <f t="shared" si="59"/>
        <v>1</v>
      </c>
      <c r="BB90" s="436">
        <v>79</v>
      </c>
      <c r="BC90" s="448">
        <f t="shared" si="60"/>
        <v>1</v>
      </c>
    </row>
    <row r="91" spans="11:55" ht="14.25" customHeight="1">
      <c r="K91" s="434" t="str">
        <f t="shared" si="61"/>
        <v/>
      </c>
      <c r="S91" s="435"/>
      <c r="T91" s="436">
        <f t="shared" si="62"/>
        <v>90</v>
      </c>
      <c r="U91" s="437" t="e">
        <f t="shared" si="46"/>
        <v>#N/A</v>
      </c>
      <c r="V91" s="438">
        <f t="shared" si="47"/>
        <v>0</v>
      </c>
      <c r="W91" s="438">
        <v>1</v>
      </c>
      <c r="X91" s="439" t="e">
        <f t="shared" si="63"/>
        <v>#N/A</v>
      </c>
      <c r="Y91" s="440" t="e">
        <f t="shared" si="48"/>
        <v>#N/A</v>
      </c>
      <c r="Z91" s="441" t="e">
        <f t="shared" si="49"/>
        <v>#N/A</v>
      </c>
      <c r="AA91" s="442" t="str">
        <f t="shared" si="64"/>
        <v/>
      </c>
      <c r="AB91" s="443" t="str">
        <f t="shared" si="65"/>
        <v/>
      </c>
      <c r="AC91" s="444" t="e">
        <f t="shared" si="50"/>
        <v>#N/A</v>
      </c>
      <c r="AD91" s="445" t="e">
        <f t="shared" si="51"/>
        <v>#N/A</v>
      </c>
      <c r="AE91" s="446" t="e">
        <f t="shared" si="52"/>
        <v>#N/A</v>
      </c>
      <c r="AF91" s="446" t="e">
        <f t="shared" si="53"/>
        <v>#N/A</v>
      </c>
      <c r="AG91" s="436">
        <v>0</v>
      </c>
      <c r="AH91" s="447">
        <f t="shared" si="54"/>
        <v>0</v>
      </c>
      <c r="AI91" s="436">
        <v>0</v>
      </c>
      <c r="AJ91" s="448">
        <f t="shared" si="55"/>
        <v>0</v>
      </c>
      <c r="AL91" s="435" t="str">
        <f t="shared" si="66"/>
        <v/>
      </c>
      <c r="AM91" s="436">
        <f t="shared" si="67"/>
        <v>90</v>
      </c>
      <c r="AN91" s="437">
        <f>rents!Q95</f>
        <v>0</v>
      </c>
      <c r="AO91" s="438">
        <v>1</v>
      </c>
      <c r="AP91" s="438">
        <v>1</v>
      </c>
      <c r="AQ91" s="439">
        <f t="shared" si="68"/>
        <v>1</v>
      </c>
      <c r="AR91" s="440">
        <f>rents!R95</f>
        <v>0</v>
      </c>
      <c r="AS91" s="441">
        <f t="shared" si="56"/>
        <v>0</v>
      </c>
      <c r="AT91" s="442" t="e" cm="1">
        <f t="array" ref="AT91">CONCATENATE(_xlfn.IFS(rents!C95=1,"HTF",rents!D95=1,"HOME",rents!E95=1,"Lead Paint",rents!F95=1,"Project Based Assistance",rents!G95=1,"Tax Credit",rents!H95=1,"VHCB",rents!I95=1,"ADA Mobility",rents!J95=1,"ADA A/V",rents!K95=1, "Adaptable",rents!L95=1,"General",rents!M95=1,"Age Restricted",rents!N95=1,rents!$N$4,rents!O95=1,rents!$O$4,rents!P95=1,"Unrestricted"), ", ",
_xlfn.IFS(rents!V95=1,"30% AMI",rents!W95=1,"40% AMI",rents!X95=1,"50% AMI",rents!Y95=1,"60% AMI",rents!Z95=1,"70% AMI",rents!AA95=1,"80% AMI",rents!AB95=1,"100% AMI",rents!AC95=1,"Market Rate"))</f>
        <v>#N/A</v>
      </c>
      <c r="AU91" s="443" t="e">
        <f t="shared" si="69"/>
        <v>#N/A</v>
      </c>
      <c r="AV91" s="444">
        <f>rents!U95</f>
        <v>0</v>
      </c>
      <c r="AW91" s="445">
        <f>rents!T95</f>
        <v>0</v>
      </c>
      <c r="AX91" s="446">
        <f t="shared" si="57"/>
        <v>0</v>
      </c>
      <c r="AY91" s="446">
        <f t="shared" si="58"/>
        <v>0</v>
      </c>
      <c r="AZ91" s="436">
        <v>80</v>
      </c>
      <c r="BA91" s="447">
        <f t="shared" si="59"/>
        <v>1</v>
      </c>
      <c r="BB91" s="436">
        <v>80</v>
      </c>
      <c r="BC91" s="448">
        <f t="shared" si="60"/>
        <v>1</v>
      </c>
    </row>
    <row r="92" spans="11:55" ht="14.25" customHeight="1">
      <c r="K92" s="434" t="str">
        <f t="shared" si="61"/>
        <v/>
      </c>
      <c r="S92" s="435"/>
      <c r="T92" s="436">
        <f t="shared" si="62"/>
        <v>91</v>
      </c>
      <c r="U92" s="437" t="e">
        <f t="shared" si="46"/>
        <v>#N/A</v>
      </c>
      <c r="V92" s="438">
        <f t="shared" si="47"/>
        <v>0</v>
      </c>
      <c r="W92" s="438">
        <v>1</v>
      </c>
      <c r="X92" s="439" t="e">
        <f t="shared" si="63"/>
        <v>#N/A</v>
      </c>
      <c r="Y92" s="440" t="e">
        <f t="shared" si="48"/>
        <v>#N/A</v>
      </c>
      <c r="Z92" s="441" t="e">
        <f t="shared" si="49"/>
        <v>#N/A</v>
      </c>
      <c r="AA92" s="442" t="str">
        <f t="shared" si="64"/>
        <v/>
      </c>
      <c r="AB92" s="443" t="str">
        <f t="shared" si="65"/>
        <v/>
      </c>
      <c r="AC92" s="444" t="e">
        <f t="shared" si="50"/>
        <v>#N/A</v>
      </c>
      <c r="AD92" s="445" t="e">
        <f t="shared" si="51"/>
        <v>#N/A</v>
      </c>
      <c r="AE92" s="446" t="e">
        <f t="shared" si="52"/>
        <v>#N/A</v>
      </c>
      <c r="AF92" s="446" t="e">
        <f t="shared" si="53"/>
        <v>#N/A</v>
      </c>
      <c r="AG92" s="436">
        <v>0</v>
      </c>
      <c r="AH92" s="447">
        <f t="shared" si="54"/>
        <v>0</v>
      </c>
      <c r="AI92" s="436">
        <v>0</v>
      </c>
      <c r="AJ92" s="448">
        <f t="shared" si="55"/>
        <v>0</v>
      </c>
      <c r="AL92" s="435" t="str">
        <f t="shared" si="66"/>
        <v/>
      </c>
      <c r="AM92" s="436">
        <f t="shared" si="67"/>
        <v>91</v>
      </c>
      <c r="AN92" s="437">
        <f>rents!Q96</f>
        <v>0</v>
      </c>
      <c r="AO92" s="438">
        <v>1</v>
      </c>
      <c r="AP92" s="438">
        <v>1</v>
      </c>
      <c r="AQ92" s="439">
        <f t="shared" si="68"/>
        <v>1</v>
      </c>
      <c r="AR92" s="440">
        <f>rents!R96</f>
        <v>0</v>
      </c>
      <c r="AS92" s="441">
        <f t="shared" si="56"/>
        <v>0</v>
      </c>
      <c r="AT92" s="442" t="e" cm="1">
        <f t="array" ref="AT92">CONCATENATE(_xlfn.IFS(rents!C96=1,"HTF",rents!D96=1,"HOME",rents!E96=1,"Lead Paint",rents!F96=1,"Project Based Assistance",rents!G96=1,"Tax Credit",rents!H96=1,"VHCB",rents!I96=1,"ADA Mobility",rents!J96=1,"ADA A/V",rents!K96=1, "Adaptable",rents!L96=1,"General",rents!M96=1,"Age Restricted",rents!N96=1,rents!$N$4,rents!O96=1,rents!$O$4,rents!P96=1,"Unrestricted"), ", ",
_xlfn.IFS(rents!V96=1,"30% AMI",rents!W96=1,"40% AMI",rents!X96=1,"50% AMI",rents!Y96=1,"60% AMI",rents!Z96=1,"70% AMI",rents!AA96=1,"80% AMI",rents!AB96=1,"100% AMI",rents!AC96=1,"Market Rate"))</f>
        <v>#N/A</v>
      </c>
      <c r="AU92" s="443" t="e">
        <f t="shared" si="69"/>
        <v>#N/A</v>
      </c>
      <c r="AV92" s="444">
        <f>rents!U96</f>
        <v>0</v>
      </c>
      <c r="AW92" s="445">
        <f>rents!T96</f>
        <v>0</v>
      </c>
      <c r="AX92" s="446">
        <f t="shared" si="57"/>
        <v>0</v>
      </c>
      <c r="AY92" s="446">
        <f t="shared" si="58"/>
        <v>0</v>
      </c>
      <c r="AZ92" s="436">
        <v>81</v>
      </c>
      <c r="BA92" s="447">
        <f t="shared" si="59"/>
        <v>1</v>
      </c>
      <c r="BB92" s="436">
        <v>81</v>
      </c>
      <c r="BC92" s="448">
        <f t="shared" si="60"/>
        <v>1</v>
      </c>
    </row>
    <row r="93" spans="11:55" ht="14.25" customHeight="1">
      <c r="K93" s="434" t="str">
        <f t="shared" si="61"/>
        <v/>
      </c>
      <c r="S93" s="435"/>
      <c r="T93" s="436">
        <f t="shared" si="62"/>
        <v>92</v>
      </c>
      <c r="U93" s="437" t="e">
        <f t="shared" si="46"/>
        <v>#N/A</v>
      </c>
      <c r="V93" s="438">
        <f t="shared" si="47"/>
        <v>0</v>
      </c>
      <c r="W93" s="438">
        <v>1</v>
      </c>
      <c r="X93" s="439" t="e">
        <f t="shared" si="63"/>
        <v>#N/A</v>
      </c>
      <c r="Y93" s="440" t="e">
        <f t="shared" si="48"/>
        <v>#N/A</v>
      </c>
      <c r="Z93" s="441" t="e">
        <f t="shared" si="49"/>
        <v>#N/A</v>
      </c>
      <c r="AA93" s="442" t="str">
        <f t="shared" si="64"/>
        <v/>
      </c>
      <c r="AB93" s="443" t="str">
        <f t="shared" si="65"/>
        <v/>
      </c>
      <c r="AC93" s="444" t="e">
        <f t="shared" si="50"/>
        <v>#N/A</v>
      </c>
      <c r="AD93" s="445" t="e">
        <f t="shared" si="51"/>
        <v>#N/A</v>
      </c>
      <c r="AE93" s="446" t="e">
        <f t="shared" si="52"/>
        <v>#N/A</v>
      </c>
      <c r="AF93" s="446" t="e">
        <f t="shared" si="53"/>
        <v>#N/A</v>
      </c>
      <c r="AG93" s="436">
        <v>0</v>
      </c>
      <c r="AH93" s="447">
        <f t="shared" si="54"/>
        <v>0</v>
      </c>
      <c r="AI93" s="436">
        <v>0</v>
      </c>
      <c r="AJ93" s="448">
        <f t="shared" si="55"/>
        <v>0</v>
      </c>
      <c r="AL93" s="435" t="str">
        <f t="shared" si="66"/>
        <v/>
      </c>
      <c r="AM93" s="436">
        <f t="shared" si="67"/>
        <v>92</v>
      </c>
      <c r="AN93" s="437">
        <f>rents!Q97</f>
        <v>0</v>
      </c>
      <c r="AO93" s="438">
        <v>1</v>
      </c>
      <c r="AP93" s="438">
        <v>1</v>
      </c>
      <c r="AQ93" s="439">
        <f t="shared" si="68"/>
        <v>1</v>
      </c>
      <c r="AR93" s="440">
        <f>rents!R97</f>
        <v>0</v>
      </c>
      <c r="AS93" s="441">
        <f t="shared" si="56"/>
        <v>0</v>
      </c>
      <c r="AT93" s="442" t="e" cm="1">
        <f t="array" ref="AT93">CONCATENATE(_xlfn.IFS(rents!C97=1,"HTF",rents!D97=1,"HOME",rents!E97=1,"Lead Paint",rents!F97=1,"Project Based Assistance",rents!G97=1,"Tax Credit",rents!H97=1,"VHCB",rents!I97=1,"ADA Mobility",rents!J97=1,"ADA A/V",rents!K97=1, "Adaptable",rents!L97=1,"General",rents!M97=1,"Age Restricted",rents!N97=1,rents!$N$4,rents!O97=1,rents!$O$4,rents!P97=1,"Unrestricted"), ", ",
_xlfn.IFS(rents!V97=1,"30% AMI",rents!W97=1,"40% AMI",rents!X97=1,"50% AMI",rents!Y97=1,"60% AMI",rents!Z97=1,"70% AMI",rents!AA97=1,"80% AMI",rents!AB97=1,"100% AMI",rents!AC97=1,"Market Rate"))</f>
        <v>#N/A</v>
      </c>
      <c r="AU93" s="443" t="e">
        <f t="shared" si="69"/>
        <v>#N/A</v>
      </c>
      <c r="AV93" s="444">
        <f>rents!U97</f>
        <v>0</v>
      </c>
      <c r="AW93" s="445">
        <f>rents!T97</f>
        <v>0</v>
      </c>
      <c r="AX93" s="446">
        <f t="shared" si="57"/>
        <v>0</v>
      </c>
      <c r="AY93" s="446">
        <f t="shared" si="58"/>
        <v>0</v>
      </c>
      <c r="AZ93" s="436">
        <v>82</v>
      </c>
      <c r="BA93" s="447">
        <f t="shared" si="59"/>
        <v>1</v>
      </c>
      <c r="BB93" s="436">
        <v>82</v>
      </c>
      <c r="BC93" s="448">
        <f t="shared" si="60"/>
        <v>1</v>
      </c>
    </row>
    <row r="94" spans="11:55" ht="14.25" customHeight="1">
      <c r="K94" s="434" t="str">
        <f t="shared" si="61"/>
        <v/>
      </c>
      <c r="S94" s="435"/>
      <c r="T94" s="436">
        <f t="shared" si="62"/>
        <v>93</v>
      </c>
      <c r="U94" s="437" t="e">
        <f t="shared" si="46"/>
        <v>#N/A</v>
      </c>
      <c r="V94" s="438">
        <f t="shared" si="47"/>
        <v>0</v>
      </c>
      <c r="W94" s="438">
        <v>1</v>
      </c>
      <c r="X94" s="439" t="e">
        <f t="shared" si="63"/>
        <v>#N/A</v>
      </c>
      <c r="Y94" s="440" t="e">
        <f t="shared" si="48"/>
        <v>#N/A</v>
      </c>
      <c r="Z94" s="441" t="e">
        <f t="shared" si="49"/>
        <v>#N/A</v>
      </c>
      <c r="AA94" s="442" t="str">
        <f t="shared" si="64"/>
        <v/>
      </c>
      <c r="AB94" s="443" t="str">
        <f t="shared" si="65"/>
        <v/>
      </c>
      <c r="AC94" s="444" t="e">
        <f t="shared" si="50"/>
        <v>#N/A</v>
      </c>
      <c r="AD94" s="445" t="e">
        <f t="shared" si="51"/>
        <v>#N/A</v>
      </c>
      <c r="AE94" s="446" t="e">
        <f t="shared" si="52"/>
        <v>#N/A</v>
      </c>
      <c r="AF94" s="446" t="e">
        <f t="shared" si="53"/>
        <v>#N/A</v>
      </c>
      <c r="AG94" s="436">
        <v>0</v>
      </c>
      <c r="AH94" s="447">
        <f t="shared" si="54"/>
        <v>0</v>
      </c>
      <c r="AI94" s="436">
        <v>0</v>
      </c>
      <c r="AJ94" s="448">
        <f t="shared" si="55"/>
        <v>0</v>
      </c>
      <c r="AL94" s="435" t="str">
        <f t="shared" si="66"/>
        <v/>
      </c>
      <c r="AM94" s="436">
        <f t="shared" si="67"/>
        <v>93</v>
      </c>
      <c r="AN94" s="437">
        <f>rents!Q98</f>
        <v>0</v>
      </c>
      <c r="AO94" s="438">
        <v>1</v>
      </c>
      <c r="AP94" s="438">
        <v>1</v>
      </c>
      <c r="AQ94" s="439">
        <f t="shared" si="68"/>
        <v>1</v>
      </c>
      <c r="AR94" s="440">
        <f>rents!R98</f>
        <v>0</v>
      </c>
      <c r="AS94" s="441">
        <f t="shared" si="56"/>
        <v>0</v>
      </c>
      <c r="AT94" s="442" t="e" cm="1">
        <f t="array" ref="AT94">CONCATENATE(_xlfn.IFS(rents!C98=1,"HTF",rents!D98=1,"HOME",rents!E98=1,"Lead Paint",rents!F98=1,"Project Based Assistance",rents!G98=1,"Tax Credit",rents!H98=1,"VHCB",rents!I98=1,"ADA Mobility",rents!J98=1,"ADA A/V",rents!K98=1, "Adaptable",rents!L98=1,"General",rents!M98=1,"Age Restricted",rents!N98=1,rents!$N$4,rents!O98=1,rents!$O$4,rents!P98=1,"Unrestricted"), ", ",
_xlfn.IFS(rents!V98=1,"30% AMI",rents!W98=1,"40% AMI",rents!X98=1,"50% AMI",rents!Y98=1,"60% AMI",rents!Z98=1,"70% AMI",rents!AA98=1,"80% AMI",rents!AB98=1,"100% AMI",rents!AC98=1,"Market Rate"))</f>
        <v>#N/A</v>
      </c>
      <c r="AU94" s="443" t="e">
        <f t="shared" si="69"/>
        <v>#N/A</v>
      </c>
      <c r="AV94" s="444">
        <f>rents!U98</f>
        <v>0</v>
      </c>
      <c r="AW94" s="445">
        <f>rents!T98</f>
        <v>0</v>
      </c>
      <c r="AX94" s="446">
        <f t="shared" si="57"/>
        <v>0</v>
      </c>
      <c r="AY94" s="446">
        <f t="shared" si="58"/>
        <v>0</v>
      </c>
      <c r="AZ94" s="436">
        <v>83</v>
      </c>
      <c r="BA94" s="447">
        <f t="shared" si="59"/>
        <v>1</v>
      </c>
      <c r="BB94" s="436">
        <v>83</v>
      </c>
      <c r="BC94" s="448">
        <f t="shared" si="60"/>
        <v>1</v>
      </c>
    </row>
    <row r="95" spans="11:55" ht="14.25" customHeight="1">
      <c r="K95" s="434" t="str">
        <f t="shared" si="61"/>
        <v/>
      </c>
      <c r="S95" s="435"/>
      <c r="T95" s="436">
        <f t="shared" si="62"/>
        <v>94</v>
      </c>
      <c r="U95" s="437" t="e">
        <f t="shared" si="46"/>
        <v>#N/A</v>
      </c>
      <c r="V95" s="438">
        <f t="shared" si="47"/>
        <v>0</v>
      </c>
      <c r="W95" s="438">
        <v>1</v>
      </c>
      <c r="X95" s="439" t="e">
        <f t="shared" si="63"/>
        <v>#N/A</v>
      </c>
      <c r="Y95" s="440" t="e">
        <f t="shared" si="48"/>
        <v>#N/A</v>
      </c>
      <c r="Z95" s="441" t="e">
        <f t="shared" si="49"/>
        <v>#N/A</v>
      </c>
      <c r="AA95" s="442" t="str">
        <f t="shared" si="64"/>
        <v/>
      </c>
      <c r="AB95" s="443" t="str">
        <f t="shared" si="65"/>
        <v/>
      </c>
      <c r="AC95" s="444" t="e">
        <f t="shared" si="50"/>
        <v>#N/A</v>
      </c>
      <c r="AD95" s="445" t="e">
        <f t="shared" si="51"/>
        <v>#N/A</v>
      </c>
      <c r="AE95" s="446" t="e">
        <f t="shared" si="52"/>
        <v>#N/A</v>
      </c>
      <c r="AF95" s="446" t="e">
        <f t="shared" si="53"/>
        <v>#N/A</v>
      </c>
      <c r="AG95" s="436">
        <v>0</v>
      </c>
      <c r="AH95" s="447">
        <f t="shared" si="54"/>
        <v>0</v>
      </c>
      <c r="AI95" s="436">
        <v>0</v>
      </c>
      <c r="AJ95" s="448">
        <f t="shared" si="55"/>
        <v>0</v>
      </c>
      <c r="AL95" s="435" t="str">
        <f t="shared" si="66"/>
        <v/>
      </c>
      <c r="AM95" s="436">
        <f t="shared" si="67"/>
        <v>94</v>
      </c>
      <c r="AN95" s="437">
        <f>rents!Q99</f>
        <v>0</v>
      </c>
      <c r="AO95" s="438">
        <v>1</v>
      </c>
      <c r="AP95" s="438">
        <v>1</v>
      </c>
      <c r="AQ95" s="439">
        <f t="shared" si="68"/>
        <v>1</v>
      </c>
      <c r="AR95" s="440">
        <f>rents!R99</f>
        <v>0</v>
      </c>
      <c r="AS95" s="441">
        <f t="shared" si="56"/>
        <v>0</v>
      </c>
      <c r="AT95" s="442" t="e" cm="1">
        <f t="array" ref="AT95">CONCATENATE(_xlfn.IFS(rents!C99=1,"HTF",rents!D99=1,"HOME",rents!E99=1,"Lead Paint",rents!F99=1,"Project Based Assistance",rents!G99=1,"Tax Credit",rents!H99=1,"VHCB",rents!I99=1,"ADA Mobility",rents!J99=1,"ADA A/V",rents!K99=1, "Adaptable",rents!L99=1,"General",rents!M99=1,"Age Restricted",rents!N99=1,rents!$N$4,rents!O99=1,rents!$O$4,rents!P99=1,"Unrestricted"), ", ",
_xlfn.IFS(rents!V99=1,"30% AMI",rents!W99=1,"40% AMI",rents!X99=1,"50% AMI",rents!Y99=1,"60% AMI",rents!Z99=1,"70% AMI",rents!AA99=1,"80% AMI",rents!AB99=1,"100% AMI",rents!AC99=1,"Market Rate"))</f>
        <v>#N/A</v>
      </c>
      <c r="AU95" s="443" t="e">
        <f t="shared" si="69"/>
        <v>#N/A</v>
      </c>
      <c r="AV95" s="444">
        <f>rents!U99</f>
        <v>0</v>
      </c>
      <c r="AW95" s="445">
        <f>rents!T99</f>
        <v>0</v>
      </c>
      <c r="AX95" s="446">
        <f t="shared" si="57"/>
        <v>0</v>
      </c>
      <c r="AY95" s="446">
        <f t="shared" si="58"/>
        <v>0</v>
      </c>
      <c r="AZ95" s="436">
        <v>84</v>
      </c>
      <c r="BA95" s="447">
        <f t="shared" si="59"/>
        <v>1</v>
      </c>
      <c r="BB95" s="436">
        <v>84</v>
      </c>
      <c r="BC95" s="448">
        <f t="shared" si="60"/>
        <v>1</v>
      </c>
    </row>
    <row r="96" spans="11:55" ht="14.25" customHeight="1">
      <c r="K96" s="434" t="str">
        <f t="shared" si="61"/>
        <v/>
      </c>
      <c r="S96" s="435"/>
      <c r="T96" s="436">
        <f t="shared" si="62"/>
        <v>95</v>
      </c>
      <c r="U96" s="437" t="e">
        <f t="shared" si="46"/>
        <v>#N/A</v>
      </c>
      <c r="V96" s="438">
        <f t="shared" si="47"/>
        <v>0</v>
      </c>
      <c r="W96" s="438">
        <v>1</v>
      </c>
      <c r="X96" s="439" t="e">
        <f t="shared" si="63"/>
        <v>#N/A</v>
      </c>
      <c r="Y96" s="440" t="e">
        <f t="shared" si="48"/>
        <v>#N/A</v>
      </c>
      <c r="Z96" s="441" t="e">
        <f t="shared" si="49"/>
        <v>#N/A</v>
      </c>
      <c r="AA96" s="442" t="str">
        <f t="shared" si="64"/>
        <v/>
      </c>
      <c r="AB96" s="443" t="str">
        <f t="shared" si="65"/>
        <v/>
      </c>
      <c r="AC96" s="444" t="e">
        <f t="shared" si="50"/>
        <v>#N/A</v>
      </c>
      <c r="AD96" s="445" t="e">
        <f t="shared" si="51"/>
        <v>#N/A</v>
      </c>
      <c r="AE96" s="446" t="e">
        <f t="shared" si="52"/>
        <v>#N/A</v>
      </c>
      <c r="AF96" s="446" t="e">
        <f t="shared" si="53"/>
        <v>#N/A</v>
      </c>
      <c r="AG96" s="436">
        <v>0</v>
      </c>
      <c r="AH96" s="447">
        <f t="shared" si="54"/>
        <v>0</v>
      </c>
      <c r="AI96" s="436">
        <v>0</v>
      </c>
      <c r="AJ96" s="448">
        <f t="shared" si="55"/>
        <v>0</v>
      </c>
      <c r="AL96" s="435" t="str">
        <f>rents!A100</f>
        <v>Mgr. Unit</v>
      </c>
      <c r="AM96" s="436">
        <f t="shared" si="67"/>
        <v>95</v>
      </c>
      <c r="AN96" s="437">
        <f>rents!Q100</f>
        <v>0</v>
      </c>
      <c r="AO96" s="438">
        <v>1</v>
      </c>
      <c r="AP96" s="438">
        <v>1</v>
      </c>
      <c r="AQ96" s="439">
        <f t="shared" si="68"/>
        <v>1</v>
      </c>
      <c r="AR96" s="440">
        <f>rents!R100</f>
        <v>0</v>
      </c>
      <c r="AS96" s="441">
        <f t="shared" si="56"/>
        <v>0</v>
      </c>
      <c r="AT96" s="442" t="e" cm="1">
        <f t="array" ref="AT96">CONCATENATE(_xlfn.IFS(rents!C100=1,"HTF",rents!D100=1,"HOME",rents!E100=1,"Lead Paint",rents!F100=1,"Project Based Assistance",rents!G100=1,"Tax Credit",rents!H100=1,"VHCB",rents!I100=1,"ADA Mobility",rents!J100=1,"ADA A/V",rents!K100=1, "Adaptable",rents!L100=1,"General",rents!M100=1,"Age Restricted",rents!N100=1,rents!$N$4,rents!O100=1,rents!$O$4,rents!P100=1,"Unrestricted"), ", ",
_xlfn.IFS(rents!V100=1,"30% AMI",rents!W100=1,"40% AMI",rents!X100=1,"50% AMI",rents!Y100=1,"60% AMI",rents!Z100=1,"70% AMI",rents!AA100=1,"80% AMI",rents!AB100=1,"100% AMI",rents!AC100=1,"Market Rate"))</f>
        <v>#N/A</v>
      </c>
      <c r="AU96" s="443" t="e">
        <f t="shared" si="69"/>
        <v>#N/A</v>
      </c>
      <c r="AV96" s="444">
        <f>rents!U100</f>
        <v>0</v>
      </c>
      <c r="AW96" s="445">
        <f>rents!T100</f>
        <v>0</v>
      </c>
      <c r="AX96" s="446">
        <f t="shared" si="57"/>
        <v>0</v>
      </c>
      <c r="AY96" s="446">
        <f t="shared" si="58"/>
        <v>0</v>
      </c>
      <c r="AZ96" s="436">
        <v>85</v>
      </c>
      <c r="BA96" s="447">
        <f t="shared" si="59"/>
        <v>1</v>
      </c>
      <c r="BB96" s="436">
        <v>85</v>
      </c>
      <c r="BC96" s="448">
        <f t="shared" si="60"/>
        <v>1</v>
      </c>
    </row>
    <row r="97" spans="11:55" ht="14.25" customHeight="1">
      <c r="K97" s="434" t="str">
        <f t="shared" si="61"/>
        <v/>
      </c>
      <c r="S97" s="449"/>
      <c r="T97" s="449"/>
      <c r="U97" s="450"/>
      <c r="V97" s="450"/>
      <c r="W97" s="450"/>
      <c r="X97" s="449"/>
      <c r="Y97" s="449"/>
      <c r="Z97" s="449"/>
      <c r="AA97" s="449"/>
      <c r="AB97" s="451"/>
      <c r="AC97" s="452"/>
      <c r="AD97" s="453"/>
      <c r="AE97" s="453"/>
      <c r="AF97" s="453"/>
      <c r="AG97" s="449"/>
      <c r="AH97" s="454"/>
      <c r="AI97" s="449"/>
      <c r="AJ97" s="449"/>
      <c r="AL97" s="449"/>
      <c r="AM97" s="449"/>
      <c r="AN97" s="450"/>
      <c r="AO97" s="450"/>
      <c r="AP97" s="450"/>
      <c r="AQ97" s="449"/>
      <c r="AR97" s="449"/>
      <c r="AS97" s="449"/>
      <c r="AT97" s="449"/>
      <c r="AU97" s="451"/>
      <c r="AV97" s="452"/>
      <c r="AW97" s="453"/>
      <c r="AX97" s="453"/>
      <c r="AY97" s="453"/>
      <c r="AZ97" s="449"/>
      <c r="BA97" s="454"/>
      <c r="BB97" s="449"/>
      <c r="BC97" s="449"/>
    </row>
    <row r="98" spans="11:55" ht="14.25" customHeight="1">
      <c r="K98" s="434" t="str">
        <f t="shared" si="61"/>
        <v/>
      </c>
      <c r="S98" s="449"/>
      <c r="T98" s="449"/>
      <c r="U98" s="450"/>
      <c r="V98" s="450"/>
      <c r="W98" s="450"/>
      <c r="X98" s="449"/>
      <c r="Y98" s="449"/>
      <c r="Z98" s="449"/>
      <c r="AA98" s="449"/>
      <c r="AB98" s="451"/>
      <c r="AC98" s="452"/>
      <c r="AD98" s="453"/>
      <c r="AE98" s="453"/>
      <c r="AF98" s="453"/>
      <c r="AG98" s="449"/>
      <c r="AH98" s="454"/>
      <c r="AI98" s="449"/>
      <c r="AJ98" s="449"/>
      <c r="AL98" s="449"/>
      <c r="AM98" s="449"/>
      <c r="AN98" s="450"/>
      <c r="AO98" s="450"/>
      <c r="AP98" s="450"/>
      <c r="AQ98" s="449"/>
      <c r="AR98" s="449"/>
      <c r="AS98" s="449"/>
      <c r="AT98" s="449"/>
      <c r="AU98" s="451"/>
      <c r="AV98" s="452"/>
      <c r="AW98" s="453"/>
      <c r="AX98" s="453"/>
      <c r="AY98" s="453"/>
      <c r="AZ98" s="449"/>
      <c r="BA98" s="454"/>
      <c r="BB98" s="449"/>
      <c r="BC98" s="449"/>
    </row>
    <row r="99" spans="11:55" ht="14.25" customHeight="1">
      <c r="K99" s="434" t="str">
        <f t="shared" si="61"/>
        <v/>
      </c>
      <c r="S99" s="449"/>
      <c r="T99" s="449"/>
      <c r="U99" s="450"/>
      <c r="V99" s="450"/>
      <c r="W99" s="450"/>
      <c r="X99" s="449"/>
      <c r="Y99" s="449"/>
      <c r="Z99" s="449"/>
      <c r="AA99" s="449"/>
      <c r="AB99" s="451"/>
      <c r="AC99" s="452"/>
      <c r="AD99" s="453"/>
      <c r="AE99" s="453"/>
      <c r="AF99" s="453"/>
      <c r="AG99" s="449"/>
      <c r="AH99" s="454"/>
      <c r="AI99" s="449"/>
      <c r="AJ99" s="449"/>
      <c r="AL99" s="449"/>
      <c r="AM99" s="449"/>
      <c r="AN99" s="450"/>
      <c r="AO99" s="450"/>
      <c r="AP99" s="450"/>
      <c r="AQ99" s="449"/>
      <c r="AR99" s="449"/>
      <c r="AS99" s="449"/>
      <c r="AT99" s="449"/>
      <c r="AU99" s="451"/>
      <c r="AV99" s="452"/>
      <c r="AW99" s="453"/>
      <c r="AX99" s="453"/>
      <c r="AY99" s="453"/>
      <c r="AZ99" s="449"/>
      <c r="BA99" s="454"/>
      <c r="BB99" s="449"/>
      <c r="BC99" s="449"/>
    </row>
    <row r="100" spans="11:55" ht="14.25" customHeight="1">
      <c r="K100" s="434" t="str">
        <f t="shared" si="61"/>
        <v/>
      </c>
      <c r="S100" s="449"/>
      <c r="T100" s="449"/>
      <c r="U100" s="450"/>
      <c r="V100" s="450"/>
      <c r="W100" s="450"/>
      <c r="X100" s="449"/>
      <c r="Y100" s="449"/>
      <c r="Z100" s="449"/>
      <c r="AA100" s="449"/>
      <c r="AB100" s="451"/>
      <c r="AC100" s="452"/>
      <c r="AD100" s="453"/>
      <c r="AE100" s="453"/>
      <c r="AF100" s="453"/>
      <c r="AG100" s="449"/>
      <c r="AH100" s="454"/>
      <c r="AI100" s="449"/>
      <c r="AJ100" s="449"/>
      <c r="AL100" s="449"/>
      <c r="AM100" s="449"/>
      <c r="AN100" s="450"/>
      <c r="AO100" s="450"/>
      <c r="AP100" s="450"/>
      <c r="AQ100" s="449"/>
      <c r="AR100" s="449"/>
      <c r="AS100" s="449"/>
      <c r="AT100" s="449"/>
      <c r="AU100" s="451"/>
      <c r="AV100" s="452"/>
      <c r="AW100" s="453"/>
      <c r="AX100" s="453"/>
      <c r="AY100" s="453"/>
      <c r="AZ100" s="449"/>
      <c r="BA100" s="454"/>
      <c r="BB100" s="449"/>
      <c r="BC100" s="449"/>
    </row>
    <row r="101" spans="11:55" ht="14.25" customHeight="1">
      <c r="K101" s="434" t="str">
        <f t="shared" si="61"/>
        <v/>
      </c>
      <c r="S101" s="449"/>
      <c r="T101" s="449"/>
      <c r="U101" s="450"/>
      <c r="V101" s="450"/>
      <c r="W101" s="450"/>
      <c r="X101" s="449"/>
      <c r="Y101" s="449"/>
      <c r="Z101" s="449"/>
      <c r="AA101" s="449"/>
      <c r="AB101" s="451"/>
      <c r="AC101" s="452"/>
      <c r="AD101" s="453"/>
      <c r="AE101" s="453"/>
      <c r="AF101" s="453"/>
      <c r="AG101" s="449"/>
      <c r="AH101" s="454"/>
      <c r="AI101" s="449"/>
      <c r="AJ101" s="449"/>
      <c r="AL101" s="449"/>
      <c r="AM101" s="449"/>
      <c r="AN101" s="450"/>
      <c r="AO101" s="450"/>
      <c r="AP101" s="450"/>
      <c r="AQ101" s="449"/>
      <c r="AR101" s="449"/>
      <c r="AS101" s="449"/>
      <c r="AT101" s="449"/>
      <c r="AU101" s="451"/>
      <c r="AV101" s="452"/>
      <c r="AW101" s="453"/>
      <c r="AX101" s="453"/>
      <c r="AY101" s="453"/>
      <c r="AZ101" s="449"/>
      <c r="BA101" s="454"/>
      <c r="BB101" s="449"/>
      <c r="BC101" s="449"/>
    </row>
    <row r="102" spans="11:55" ht="14.25" customHeight="1">
      <c r="K102" s="434" t="str">
        <f t="shared" si="61"/>
        <v/>
      </c>
      <c r="S102" s="449"/>
      <c r="T102" s="449"/>
      <c r="U102" s="450"/>
      <c r="V102" s="450"/>
      <c r="W102" s="450"/>
      <c r="X102" s="449"/>
      <c r="Y102" s="449"/>
      <c r="Z102" s="449"/>
      <c r="AA102" s="449"/>
      <c r="AB102" s="451"/>
      <c r="AC102" s="452"/>
      <c r="AD102" s="453"/>
      <c r="AE102" s="453"/>
      <c r="AF102" s="453"/>
      <c r="AG102" s="449"/>
      <c r="AH102" s="454"/>
      <c r="AI102" s="449"/>
      <c r="AJ102" s="449"/>
      <c r="AL102" s="449"/>
      <c r="AM102" s="449"/>
      <c r="AN102" s="450"/>
      <c r="AO102" s="450"/>
      <c r="AP102" s="450"/>
      <c r="AQ102" s="449"/>
      <c r="AR102" s="449"/>
      <c r="AS102" s="449"/>
      <c r="AT102" s="449"/>
      <c r="AU102" s="451"/>
      <c r="AV102" s="452"/>
      <c r="AW102" s="453"/>
      <c r="AX102" s="453"/>
      <c r="AY102" s="453"/>
      <c r="AZ102" s="449"/>
      <c r="BA102" s="454"/>
      <c r="BB102" s="449"/>
      <c r="BC102" s="449"/>
    </row>
    <row r="103" spans="11:55" ht="14.25" customHeight="1">
      <c r="K103" s="434" t="str">
        <f t="shared" si="61"/>
        <v/>
      </c>
      <c r="S103" s="449"/>
      <c r="T103" s="449"/>
      <c r="U103" s="450"/>
      <c r="V103" s="450"/>
      <c r="W103" s="450"/>
      <c r="X103" s="449"/>
      <c r="Y103" s="449"/>
      <c r="Z103" s="449"/>
      <c r="AA103" s="449"/>
      <c r="AB103" s="451"/>
      <c r="AC103" s="452"/>
      <c r="AD103" s="453"/>
      <c r="AE103" s="453"/>
      <c r="AF103" s="453"/>
      <c r="AG103" s="449"/>
      <c r="AH103" s="454"/>
      <c r="AI103" s="449"/>
      <c r="AJ103" s="449"/>
      <c r="AL103" s="449"/>
      <c r="AM103" s="449"/>
      <c r="AN103" s="450"/>
      <c r="AO103" s="450"/>
      <c r="AP103" s="450"/>
      <c r="AQ103" s="449"/>
      <c r="AR103" s="449"/>
      <c r="AS103" s="449"/>
      <c r="AT103" s="449"/>
      <c r="AU103" s="451"/>
      <c r="AV103" s="452"/>
      <c r="AW103" s="453"/>
      <c r="AX103" s="453"/>
      <c r="AY103" s="453"/>
      <c r="AZ103" s="449"/>
      <c r="BA103" s="454"/>
      <c r="BB103" s="449"/>
      <c r="BC103" s="449"/>
    </row>
    <row r="104" spans="11:55" ht="14.25" customHeight="1">
      <c r="K104" s="434" t="str">
        <f t="shared" si="61"/>
        <v/>
      </c>
      <c r="S104" s="449"/>
      <c r="T104" s="449"/>
      <c r="U104" s="450"/>
      <c r="V104" s="450"/>
      <c r="W104" s="450"/>
      <c r="X104" s="449"/>
      <c r="Y104" s="449"/>
      <c r="Z104" s="449"/>
      <c r="AA104" s="449"/>
      <c r="AB104" s="451"/>
      <c r="AC104" s="452"/>
      <c r="AD104" s="453"/>
      <c r="AE104" s="453"/>
      <c r="AF104" s="453"/>
      <c r="AG104" s="449"/>
      <c r="AH104" s="454"/>
      <c r="AI104" s="449"/>
      <c r="AJ104" s="449"/>
      <c r="AL104" s="449"/>
      <c r="AM104" s="449"/>
      <c r="AN104" s="450"/>
      <c r="AO104" s="450"/>
      <c r="AP104" s="450"/>
      <c r="AQ104" s="449"/>
      <c r="AR104" s="449"/>
      <c r="AS104" s="449"/>
      <c r="AT104" s="449"/>
      <c r="AU104" s="451"/>
      <c r="AV104" s="452"/>
      <c r="AW104" s="453"/>
      <c r="AX104" s="453"/>
      <c r="AY104" s="453"/>
      <c r="AZ104" s="449"/>
      <c r="BA104" s="454"/>
      <c r="BB104" s="449"/>
      <c r="BC104" s="449"/>
    </row>
    <row r="105" spans="11:55" ht="14.25" customHeight="1">
      <c r="K105" s="434" t="str">
        <f t="shared" si="61"/>
        <v/>
      </c>
      <c r="S105" s="449"/>
      <c r="T105" s="449"/>
      <c r="U105" s="450"/>
      <c r="V105" s="450"/>
      <c r="W105" s="450"/>
      <c r="X105" s="449"/>
      <c r="Y105" s="449"/>
      <c r="Z105" s="449"/>
      <c r="AA105" s="449"/>
      <c r="AB105" s="451"/>
      <c r="AC105" s="452"/>
      <c r="AD105" s="453"/>
      <c r="AE105" s="453"/>
      <c r="AF105" s="453"/>
      <c r="AG105" s="449"/>
      <c r="AH105" s="454"/>
      <c r="AI105" s="449"/>
      <c r="AJ105" s="449"/>
      <c r="AL105" s="449"/>
      <c r="AM105" s="449"/>
      <c r="AN105" s="450"/>
      <c r="AO105" s="450"/>
      <c r="AP105" s="450"/>
      <c r="AQ105" s="449"/>
      <c r="AR105" s="449"/>
      <c r="AS105" s="449"/>
      <c r="AT105" s="449"/>
      <c r="AU105" s="451"/>
      <c r="AV105" s="452"/>
      <c r="AW105" s="453"/>
      <c r="AX105" s="453"/>
      <c r="AY105" s="453"/>
      <c r="AZ105" s="449"/>
      <c r="BA105" s="454"/>
      <c r="BB105" s="449"/>
      <c r="BC105" s="449"/>
    </row>
    <row r="106" spans="11:55" ht="14.25" customHeight="1">
      <c r="K106" s="434" t="str">
        <f t="shared" si="61"/>
        <v/>
      </c>
      <c r="S106" s="449"/>
      <c r="T106" s="449"/>
      <c r="U106" s="450"/>
      <c r="V106" s="450"/>
      <c r="W106" s="450"/>
      <c r="X106" s="449"/>
      <c r="Y106" s="449"/>
      <c r="Z106" s="449"/>
      <c r="AA106" s="449"/>
      <c r="AB106" s="451"/>
      <c r="AC106" s="452"/>
      <c r="AD106" s="453"/>
      <c r="AE106" s="453"/>
      <c r="AF106" s="453"/>
      <c r="AG106" s="449"/>
      <c r="AH106" s="454"/>
      <c r="AI106" s="449"/>
      <c r="AJ106" s="449"/>
      <c r="AL106" s="449"/>
      <c r="AM106" s="449"/>
      <c r="AN106" s="450"/>
      <c r="AO106" s="450"/>
      <c r="AP106" s="450"/>
      <c r="AQ106" s="449"/>
      <c r="AR106" s="449"/>
      <c r="AS106" s="449"/>
      <c r="AT106" s="449"/>
      <c r="AU106" s="451"/>
      <c r="AV106" s="452"/>
      <c r="AW106" s="453"/>
      <c r="AX106" s="453"/>
      <c r="AY106" s="453"/>
      <c r="AZ106" s="449"/>
      <c r="BA106" s="454"/>
      <c r="BB106" s="449"/>
      <c r="BC106" s="449"/>
    </row>
    <row r="107" spans="11:55" ht="14.25" customHeight="1">
      <c r="K107" s="434" t="str">
        <f t="shared" si="61"/>
        <v/>
      </c>
      <c r="S107" s="449"/>
      <c r="T107" s="449"/>
      <c r="U107" s="450"/>
      <c r="V107" s="450"/>
      <c r="W107" s="450"/>
      <c r="X107" s="449"/>
      <c r="Y107" s="449"/>
      <c r="Z107" s="449"/>
      <c r="AA107" s="449"/>
      <c r="AB107" s="451"/>
      <c r="AC107" s="452"/>
      <c r="AD107" s="453"/>
      <c r="AE107" s="453"/>
      <c r="AF107" s="453"/>
      <c r="AG107" s="449"/>
      <c r="AH107" s="454"/>
      <c r="AI107" s="449"/>
      <c r="AJ107" s="449"/>
      <c r="AL107" s="449"/>
      <c r="AM107" s="449"/>
      <c r="AN107" s="450"/>
      <c r="AO107" s="450"/>
      <c r="AP107" s="450"/>
      <c r="AQ107" s="449"/>
      <c r="AR107" s="449"/>
      <c r="AS107" s="449"/>
      <c r="AT107" s="449"/>
      <c r="AU107" s="451"/>
      <c r="AV107" s="452"/>
      <c r="AW107" s="453"/>
      <c r="AX107" s="453"/>
      <c r="AY107" s="453"/>
      <c r="AZ107" s="449"/>
      <c r="BA107" s="454"/>
      <c r="BB107" s="449"/>
      <c r="BC107" s="449"/>
    </row>
    <row r="108" spans="11:55" ht="14.25" customHeight="1">
      <c r="K108" s="434" t="str">
        <f t="shared" si="61"/>
        <v/>
      </c>
      <c r="S108" s="449"/>
      <c r="T108" s="449"/>
      <c r="U108" s="450"/>
      <c r="V108" s="450"/>
      <c r="W108" s="450"/>
      <c r="X108" s="449"/>
      <c r="Y108" s="449"/>
      <c r="Z108" s="449"/>
      <c r="AA108" s="449"/>
      <c r="AB108" s="451"/>
      <c r="AC108" s="452"/>
      <c r="AD108" s="453"/>
      <c r="AE108" s="453"/>
      <c r="AF108" s="453"/>
      <c r="AG108" s="449"/>
      <c r="AH108" s="454"/>
      <c r="AI108" s="449"/>
      <c r="AJ108" s="449"/>
      <c r="AL108" s="449"/>
      <c r="AM108" s="449"/>
      <c r="AN108" s="450"/>
      <c r="AO108" s="450"/>
      <c r="AP108" s="450"/>
      <c r="AQ108" s="449"/>
      <c r="AR108" s="449"/>
      <c r="AS108" s="449"/>
      <c r="AT108" s="449"/>
      <c r="AU108" s="451"/>
      <c r="AV108" s="452"/>
      <c r="AW108" s="453"/>
      <c r="AX108" s="453"/>
      <c r="AY108" s="453"/>
      <c r="AZ108" s="449"/>
      <c r="BA108" s="454"/>
      <c r="BB108" s="449"/>
      <c r="BC108" s="449"/>
    </row>
    <row r="109" spans="11:55" ht="14.25" customHeight="1">
      <c r="K109" s="434" t="str">
        <f t="shared" si="61"/>
        <v/>
      </c>
      <c r="S109" s="449"/>
      <c r="T109" s="449"/>
      <c r="U109" s="450"/>
      <c r="V109" s="450"/>
      <c r="W109" s="450"/>
      <c r="X109" s="449"/>
      <c r="Y109" s="449"/>
      <c r="Z109" s="449"/>
      <c r="AA109" s="449"/>
      <c r="AB109" s="451"/>
      <c r="AC109" s="452"/>
      <c r="AD109" s="453"/>
      <c r="AE109" s="453"/>
      <c r="AF109" s="453"/>
      <c r="AG109" s="449"/>
      <c r="AH109" s="454"/>
      <c r="AI109" s="449"/>
      <c r="AJ109" s="449"/>
      <c r="AL109" s="449"/>
      <c r="AM109" s="449"/>
      <c r="AN109" s="450"/>
      <c r="AO109" s="450"/>
      <c r="AP109" s="450"/>
      <c r="AQ109" s="449"/>
      <c r="AR109" s="449"/>
      <c r="AS109" s="449"/>
      <c r="AT109" s="449"/>
      <c r="AU109" s="451"/>
      <c r="AV109" s="452"/>
      <c r="AW109" s="453"/>
      <c r="AX109" s="453"/>
      <c r="AY109" s="453"/>
      <c r="AZ109" s="449"/>
      <c r="BA109" s="454"/>
      <c r="BB109" s="449"/>
      <c r="BC109" s="449"/>
    </row>
    <row r="110" spans="11:55" ht="14.25" customHeight="1">
      <c r="K110" s="434" t="str">
        <f t="shared" si="61"/>
        <v/>
      </c>
      <c r="S110" s="449"/>
      <c r="T110" s="449"/>
      <c r="U110" s="450"/>
      <c r="V110" s="450"/>
      <c r="W110" s="450"/>
      <c r="X110" s="449"/>
      <c r="Y110" s="449"/>
      <c r="Z110" s="449"/>
      <c r="AA110" s="449"/>
      <c r="AB110" s="451"/>
      <c r="AC110" s="452"/>
      <c r="AD110" s="453"/>
      <c r="AE110" s="453"/>
      <c r="AF110" s="453"/>
      <c r="AG110" s="449"/>
      <c r="AH110" s="454"/>
      <c r="AI110" s="449"/>
      <c r="AJ110" s="449"/>
      <c r="AL110" s="449"/>
      <c r="AM110" s="449"/>
      <c r="AN110" s="450"/>
      <c r="AO110" s="450"/>
      <c r="AP110" s="450"/>
      <c r="AQ110" s="449"/>
      <c r="AR110" s="449"/>
      <c r="AS110" s="449"/>
      <c r="AT110" s="449"/>
      <c r="AU110" s="451"/>
      <c r="AV110" s="452"/>
      <c r="AW110" s="453"/>
      <c r="AX110" s="453"/>
      <c r="AY110" s="453"/>
      <c r="AZ110" s="449"/>
      <c r="BA110" s="454"/>
      <c r="BB110" s="449"/>
      <c r="BC110" s="449"/>
    </row>
    <row r="111" spans="11:55" ht="14.25" customHeight="1">
      <c r="K111" s="434" t="str">
        <f t="shared" si="61"/>
        <v/>
      </c>
      <c r="S111" s="449"/>
      <c r="T111" s="449"/>
      <c r="U111" s="450"/>
      <c r="V111" s="450"/>
      <c r="W111" s="450"/>
      <c r="X111" s="449"/>
      <c r="Y111" s="449"/>
      <c r="Z111" s="449"/>
      <c r="AA111" s="449"/>
      <c r="AB111" s="451"/>
      <c r="AC111" s="452"/>
      <c r="AD111" s="453"/>
      <c r="AE111" s="453"/>
      <c r="AF111" s="453"/>
      <c r="AG111" s="449"/>
      <c r="AH111" s="454"/>
      <c r="AI111" s="449"/>
      <c r="AJ111" s="449"/>
      <c r="AL111" s="449"/>
      <c r="AM111" s="449"/>
      <c r="AN111" s="450"/>
      <c r="AO111" s="450"/>
      <c r="AP111" s="450"/>
      <c r="AQ111" s="449"/>
      <c r="AR111" s="449"/>
      <c r="AS111" s="449"/>
      <c r="AT111" s="449"/>
      <c r="AU111" s="451"/>
      <c r="AV111" s="452"/>
      <c r="AW111" s="453"/>
      <c r="AX111" s="453"/>
      <c r="AY111" s="453"/>
      <c r="AZ111" s="449"/>
      <c r="BA111" s="454"/>
      <c r="BB111" s="449"/>
      <c r="BC111" s="449"/>
    </row>
    <row r="112" spans="11:55" ht="14.25" customHeight="1">
      <c r="K112" s="434" t="str">
        <f t="shared" si="61"/>
        <v/>
      </c>
      <c r="S112" s="449"/>
      <c r="T112" s="449"/>
      <c r="U112" s="450"/>
      <c r="V112" s="450"/>
      <c r="W112" s="450"/>
      <c r="X112" s="449"/>
      <c r="Y112" s="449"/>
      <c r="Z112" s="449"/>
      <c r="AA112" s="449"/>
      <c r="AB112" s="451"/>
      <c r="AC112" s="452"/>
      <c r="AD112" s="453"/>
      <c r="AE112" s="453"/>
      <c r="AF112" s="453"/>
      <c r="AG112" s="449"/>
      <c r="AH112" s="454"/>
      <c r="AI112" s="449"/>
      <c r="AJ112" s="449"/>
      <c r="AL112" s="449"/>
      <c r="AM112" s="449"/>
      <c r="AN112" s="450"/>
      <c r="AO112" s="450"/>
      <c r="AP112" s="450"/>
      <c r="AQ112" s="449"/>
      <c r="AR112" s="449"/>
      <c r="AS112" s="449"/>
      <c r="AT112" s="449"/>
      <c r="AU112" s="451"/>
      <c r="AV112" s="452"/>
      <c r="AW112" s="453"/>
      <c r="AX112" s="453"/>
      <c r="AY112" s="453"/>
      <c r="AZ112" s="449"/>
      <c r="BA112" s="454"/>
      <c r="BB112" s="449"/>
      <c r="BC112" s="449"/>
    </row>
    <row r="113" spans="11:55" ht="14.25" customHeight="1">
      <c r="K113" s="434" t="str">
        <f t="shared" si="61"/>
        <v/>
      </c>
      <c r="S113" s="449"/>
      <c r="T113" s="449"/>
      <c r="U113" s="450"/>
      <c r="V113" s="450"/>
      <c r="W113" s="450"/>
      <c r="X113" s="449"/>
      <c r="Y113" s="449"/>
      <c r="Z113" s="449"/>
      <c r="AA113" s="449"/>
      <c r="AB113" s="451"/>
      <c r="AC113" s="452"/>
      <c r="AD113" s="453"/>
      <c r="AE113" s="453"/>
      <c r="AF113" s="453"/>
      <c r="AG113" s="449"/>
      <c r="AH113" s="454"/>
      <c r="AI113" s="449"/>
      <c r="AJ113" s="449"/>
      <c r="AL113" s="449"/>
      <c r="AM113" s="449"/>
      <c r="AN113" s="450"/>
      <c r="AO113" s="450"/>
      <c r="AP113" s="450"/>
      <c r="AQ113" s="449"/>
      <c r="AR113" s="449"/>
      <c r="AS113" s="449"/>
      <c r="AT113" s="449"/>
      <c r="AU113" s="451"/>
      <c r="AV113" s="452"/>
      <c r="AW113" s="453"/>
      <c r="AX113" s="453"/>
      <c r="AY113" s="453"/>
      <c r="AZ113" s="449"/>
      <c r="BA113" s="454"/>
      <c r="BB113" s="449"/>
      <c r="BC113" s="449"/>
    </row>
    <row r="114" spans="11:55" ht="14.25" customHeight="1">
      <c r="K114" s="434" t="str">
        <f t="shared" si="61"/>
        <v/>
      </c>
      <c r="S114" s="449"/>
      <c r="T114" s="449"/>
      <c r="U114" s="450"/>
      <c r="V114" s="450"/>
      <c r="W114" s="450"/>
      <c r="X114" s="449"/>
      <c r="Y114" s="449"/>
      <c r="Z114" s="449"/>
      <c r="AA114" s="449"/>
      <c r="AB114" s="451"/>
      <c r="AC114" s="452"/>
      <c r="AD114" s="453"/>
      <c r="AE114" s="453"/>
      <c r="AF114" s="453"/>
      <c r="AG114" s="449"/>
      <c r="AH114" s="454"/>
      <c r="AI114" s="449"/>
      <c r="AJ114" s="449"/>
      <c r="AL114" s="449"/>
      <c r="AM114" s="449"/>
      <c r="AN114" s="450"/>
      <c r="AO114" s="450"/>
      <c r="AP114" s="450"/>
      <c r="AQ114" s="449"/>
      <c r="AR114" s="449"/>
      <c r="AS114" s="449"/>
      <c r="AT114" s="449"/>
      <c r="AU114" s="451"/>
      <c r="AV114" s="452"/>
      <c r="AW114" s="453"/>
      <c r="AX114" s="453"/>
      <c r="AY114" s="453"/>
      <c r="AZ114" s="449"/>
      <c r="BA114" s="454"/>
      <c r="BB114" s="449"/>
      <c r="BC114" s="449"/>
    </row>
    <row r="115" spans="11:55" ht="14.25" customHeight="1">
      <c r="K115" s="434" t="str">
        <f t="shared" si="61"/>
        <v/>
      </c>
      <c r="S115" s="449"/>
      <c r="T115" s="449"/>
      <c r="U115" s="450"/>
      <c r="V115" s="450"/>
      <c r="W115" s="450"/>
      <c r="X115" s="449"/>
      <c r="Y115" s="449"/>
      <c r="Z115" s="449"/>
      <c r="AA115" s="449"/>
      <c r="AB115" s="451"/>
      <c r="AC115" s="452"/>
      <c r="AD115" s="453"/>
      <c r="AE115" s="453"/>
      <c r="AF115" s="453"/>
      <c r="AG115" s="449"/>
      <c r="AH115" s="454"/>
      <c r="AI115" s="449"/>
      <c r="AJ115" s="449"/>
      <c r="AL115" s="449"/>
      <c r="AM115" s="449"/>
      <c r="AN115" s="450"/>
      <c r="AO115" s="450"/>
      <c r="AP115" s="450"/>
      <c r="AQ115" s="449"/>
      <c r="AR115" s="449"/>
      <c r="AS115" s="449"/>
      <c r="AT115" s="449"/>
      <c r="AU115" s="451"/>
      <c r="AV115" s="452"/>
      <c r="AW115" s="453"/>
      <c r="AX115" s="453"/>
      <c r="AY115" s="453"/>
      <c r="AZ115" s="449"/>
      <c r="BA115" s="454"/>
      <c r="BB115" s="449"/>
      <c r="BC115" s="449"/>
    </row>
    <row r="116" spans="11:55" ht="14.25" customHeight="1">
      <c r="K116" s="434" t="str">
        <f t="shared" si="61"/>
        <v/>
      </c>
      <c r="S116" s="449"/>
      <c r="T116" s="449"/>
      <c r="U116" s="450"/>
      <c r="V116" s="450"/>
      <c r="W116" s="450"/>
      <c r="X116" s="449"/>
      <c r="Y116" s="449"/>
      <c r="Z116" s="449"/>
      <c r="AA116" s="449"/>
      <c r="AB116" s="451"/>
      <c r="AC116" s="452"/>
      <c r="AD116" s="453"/>
      <c r="AE116" s="453"/>
      <c r="AF116" s="453"/>
      <c r="AG116" s="449"/>
      <c r="AH116" s="454"/>
      <c r="AI116" s="449"/>
      <c r="AJ116" s="449"/>
      <c r="AL116" s="449"/>
      <c r="AM116" s="449"/>
      <c r="AN116" s="450"/>
      <c r="AO116" s="450"/>
      <c r="AP116" s="450"/>
      <c r="AQ116" s="449"/>
      <c r="AR116" s="449"/>
      <c r="AS116" s="449"/>
      <c r="AT116" s="449"/>
      <c r="AU116" s="451"/>
      <c r="AV116" s="452"/>
      <c r="AW116" s="453"/>
      <c r="AX116" s="453"/>
      <c r="AY116" s="453"/>
      <c r="AZ116" s="449"/>
      <c r="BA116" s="454"/>
      <c r="BB116" s="449"/>
      <c r="BC116" s="449"/>
    </row>
    <row r="117" spans="11:55" ht="14.25" customHeight="1">
      <c r="K117" s="434" t="str">
        <f t="shared" si="61"/>
        <v/>
      </c>
      <c r="S117" s="449"/>
      <c r="T117" s="449"/>
      <c r="U117" s="450"/>
      <c r="V117" s="450"/>
      <c r="W117" s="450"/>
      <c r="X117" s="449"/>
      <c r="Y117" s="449"/>
      <c r="Z117" s="449"/>
      <c r="AA117" s="449"/>
      <c r="AB117" s="451"/>
      <c r="AC117" s="452"/>
      <c r="AD117" s="453"/>
      <c r="AE117" s="453"/>
      <c r="AF117" s="453"/>
      <c r="AG117" s="449"/>
      <c r="AH117" s="454"/>
      <c r="AI117" s="449"/>
      <c r="AJ117" s="449"/>
      <c r="AL117" s="449"/>
      <c r="AM117" s="449"/>
      <c r="AN117" s="450"/>
      <c r="AO117" s="450"/>
      <c r="AP117" s="450"/>
      <c r="AQ117" s="449"/>
      <c r="AR117" s="449"/>
      <c r="AS117" s="449"/>
      <c r="AT117" s="449"/>
      <c r="AU117" s="451"/>
      <c r="AV117" s="452"/>
      <c r="AW117" s="453"/>
      <c r="AX117" s="453"/>
      <c r="AY117" s="453"/>
      <c r="AZ117" s="449"/>
      <c r="BA117" s="454"/>
      <c r="BB117" s="449"/>
      <c r="BC117" s="449"/>
    </row>
    <row r="118" spans="11:55" ht="14.25" customHeight="1">
      <c r="K118" s="434" t="str">
        <f t="shared" si="61"/>
        <v/>
      </c>
      <c r="S118" s="449"/>
      <c r="T118" s="449"/>
      <c r="U118" s="450"/>
      <c r="V118" s="450"/>
      <c r="W118" s="450"/>
      <c r="X118" s="449"/>
      <c r="Y118" s="449"/>
      <c r="Z118" s="449"/>
      <c r="AA118" s="449"/>
      <c r="AB118" s="451"/>
      <c r="AC118" s="452"/>
      <c r="AD118" s="453"/>
      <c r="AE118" s="453"/>
      <c r="AF118" s="453"/>
      <c r="AG118" s="449"/>
      <c r="AH118" s="454"/>
      <c r="AI118" s="449"/>
      <c r="AJ118" s="449"/>
      <c r="AL118" s="449"/>
      <c r="AM118" s="449"/>
      <c r="AN118" s="450"/>
      <c r="AO118" s="450"/>
      <c r="AP118" s="450"/>
      <c r="AQ118" s="449"/>
      <c r="AR118" s="449"/>
      <c r="AS118" s="449"/>
      <c r="AT118" s="449"/>
      <c r="AU118" s="451"/>
      <c r="AV118" s="452"/>
      <c r="AW118" s="453"/>
      <c r="AX118" s="453"/>
      <c r="AY118" s="453"/>
      <c r="AZ118" s="449"/>
      <c r="BA118" s="454"/>
      <c r="BB118" s="449"/>
      <c r="BC118" s="449"/>
    </row>
    <row r="119" spans="11:55" ht="14.25" customHeight="1">
      <c r="K119" s="434" t="str">
        <f t="shared" si="61"/>
        <v/>
      </c>
      <c r="S119" s="449"/>
      <c r="T119" s="449"/>
      <c r="U119" s="450"/>
      <c r="V119" s="450"/>
      <c r="W119" s="450"/>
      <c r="X119" s="449"/>
      <c r="Y119" s="449"/>
      <c r="Z119" s="449"/>
      <c r="AA119" s="449"/>
      <c r="AB119" s="451"/>
      <c r="AC119" s="452"/>
      <c r="AD119" s="453"/>
      <c r="AE119" s="453"/>
      <c r="AF119" s="453"/>
      <c r="AG119" s="449"/>
      <c r="AH119" s="454"/>
      <c r="AI119" s="449"/>
      <c r="AJ119" s="449"/>
      <c r="AL119" s="449"/>
      <c r="AM119" s="449"/>
      <c r="AN119" s="450"/>
      <c r="AO119" s="450"/>
      <c r="AP119" s="450"/>
      <c r="AQ119" s="449"/>
      <c r="AR119" s="449"/>
      <c r="AS119" s="449"/>
      <c r="AT119" s="449"/>
      <c r="AU119" s="451"/>
      <c r="AV119" s="452"/>
      <c r="AW119" s="453"/>
      <c r="AX119" s="453"/>
      <c r="AY119" s="453"/>
      <c r="AZ119" s="449"/>
      <c r="BA119" s="454"/>
      <c r="BB119" s="449"/>
      <c r="BC119" s="449"/>
    </row>
    <row r="120" spans="11:55" ht="14.25" customHeight="1">
      <c r="K120" s="434" t="str">
        <f t="shared" si="61"/>
        <v/>
      </c>
      <c r="S120" s="449"/>
      <c r="T120" s="449"/>
      <c r="U120" s="450"/>
      <c r="V120" s="450"/>
      <c r="W120" s="450"/>
      <c r="X120" s="449"/>
      <c r="Y120" s="449"/>
      <c r="Z120" s="449"/>
      <c r="AA120" s="449"/>
      <c r="AB120" s="451"/>
      <c r="AC120" s="452"/>
      <c r="AD120" s="453"/>
      <c r="AE120" s="453"/>
      <c r="AF120" s="453"/>
      <c r="AG120" s="449"/>
      <c r="AH120" s="454"/>
      <c r="AI120" s="449"/>
      <c r="AJ120" s="449"/>
      <c r="AL120" s="449"/>
      <c r="AM120" s="449"/>
      <c r="AN120" s="450"/>
      <c r="AO120" s="450"/>
      <c r="AP120" s="450"/>
      <c r="AQ120" s="449"/>
      <c r="AR120" s="449"/>
      <c r="AS120" s="449"/>
      <c r="AT120" s="449"/>
      <c r="AU120" s="451"/>
      <c r="AV120" s="452"/>
      <c r="AW120" s="453"/>
      <c r="AX120" s="453"/>
      <c r="AY120" s="453"/>
      <c r="AZ120" s="449"/>
      <c r="BA120" s="454"/>
      <c r="BB120" s="449"/>
      <c r="BC120" s="449"/>
    </row>
    <row r="121" spans="11:55" ht="14.25" customHeight="1">
      <c r="K121" s="434" t="str">
        <f t="shared" si="61"/>
        <v/>
      </c>
      <c r="S121" s="449"/>
      <c r="T121" s="449"/>
      <c r="U121" s="450"/>
      <c r="V121" s="450"/>
      <c r="W121" s="450"/>
      <c r="X121" s="449"/>
      <c r="Y121" s="449"/>
      <c r="Z121" s="449"/>
      <c r="AA121" s="449"/>
      <c r="AB121" s="451"/>
      <c r="AC121" s="452"/>
      <c r="AD121" s="453"/>
      <c r="AE121" s="453"/>
      <c r="AF121" s="453"/>
      <c r="AG121" s="449"/>
      <c r="AH121" s="454"/>
      <c r="AI121" s="449"/>
      <c r="AJ121" s="449"/>
      <c r="AL121" s="449"/>
      <c r="AM121" s="449"/>
      <c r="AN121" s="450"/>
      <c r="AO121" s="450"/>
      <c r="AP121" s="450"/>
      <c r="AQ121" s="449"/>
      <c r="AR121" s="449"/>
      <c r="AS121" s="449"/>
      <c r="AT121" s="449"/>
      <c r="AU121" s="451"/>
      <c r="AV121" s="452"/>
      <c r="AW121" s="453"/>
      <c r="AX121" s="453"/>
      <c r="AY121" s="453"/>
      <c r="AZ121" s="449"/>
      <c r="BA121" s="454"/>
      <c r="BB121" s="449"/>
      <c r="BC121" s="449"/>
    </row>
    <row r="122" spans="11:55" ht="14.25" customHeight="1">
      <c r="K122" s="434" t="str">
        <f t="shared" si="61"/>
        <v/>
      </c>
      <c r="S122" s="449"/>
      <c r="T122" s="449"/>
      <c r="U122" s="450"/>
      <c r="V122" s="450"/>
      <c r="W122" s="450"/>
      <c r="X122" s="449"/>
      <c r="Y122" s="449"/>
      <c r="Z122" s="449"/>
      <c r="AA122" s="449"/>
      <c r="AB122" s="451"/>
      <c r="AC122" s="452"/>
      <c r="AD122" s="453"/>
      <c r="AE122" s="453"/>
      <c r="AF122" s="453"/>
      <c r="AG122" s="449"/>
      <c r="AH122" s="454"/>
      <c r="AI122" s="449"/>
      <c r="AJ122" s="449"/>
      <c r="AL122" s="449"/>
      <c r="AM122" s="449"/>
      <c r="AN122" s="450"/>
      <c r="AO122" s="450"/>
      <c r="AP122" s="450"/>
      <c r="AQ122" s="449"/>
      <c r="AR122" s="449"/>
      <c r="AS122" s="449"/>
      <c r="AT122" s="449"/>
      <c r="AU122" s="451"/>
      <c r="AV122" s="452"/>
      <c r="AW122" s="453"/>
      <c r="AX122" s="453"/>
      <c r="AY122" s="453"/>
      <c r="AZ122" s="449"/>
      <c r="BA122" s="454"/>
      <c r="BB122" s="449"/>
      <c r="BC122" s="449"/>
    </row>
    <row r="123" spans="11:55" ht="14.25" customHeight="1">
      <c r="K123" s="434" t="str">
        <f t="shared" si="61"/>
        <v/>
      </c>
      <c r="S123" s="449"/>
      <c r="T123" s="449"/>
      <c r="U123" s="450"/>
      <c r="V123" s="450"/>
      <c r="W123" s="450"/>
      <c r="X123" s="449"/>
      <c r="Y123" s="449"/>
      <c r="Z123" s="449"/>
      <c r="AA123" s="449"/>
      <c r="AB123" s="451"/>
      <c r="AC123" s="452"/>
      <c r="AD123" s="453"/>
      <c r="AE123" s="453"/>
      <c r="AF123" s="453"/>
      <c r="AG123" s="449"/>
      <c r="AH123" s="454"/>
      <c r="AI123" s="449"/>
      <c r="AJ123" s="449"/>
      <c r="AL123" s="449"/>
      <c r="AM123" s="449"/>
      <c r="AN123" s="450"/>
      <c r="AO123" s="450"/>
      <c r="AP123" s="450"/>
      <c r="AQ123" s="449"/>
      <c r="AR123" s="449"/>
      <c r="AS123" s="449"/>
      <c r="AT123" s="449"/>
      <c r="AU123" s="451"/>
      <c r="AV123" s="452"/>
      <c r="AW123" s="453"/>
      <c r="AX123" s="453"/>
      <c r="AY123" s="453"/>
      <c r="AZ123" s="449"/>
      <c r="BA123" s="454"/>
      <c r="BB123" s="449"/>
      <c r="BC123" s="449"/>
    </row>
    <row r="124" spans="11:55" ht="14.25" customHeight="1">
      <c r="K124" s="434" t="str">
        <f t="shared" si="61"/>
        <v/>
      </c>
      <c r="S124" s="449"/>
      <c r="T124" s="449"/>
      <c r="U124" s="450"/>
      <c r="V124" s="450"/>
      <c r="W124" s="450"/>
      <c r="X124" s="449"/>
      <c r="Y124" s="449"/>
      <c r="Z124" s="449"/>
      <c r="AA124" s="449"/>
      <c r="AB124" s="451"/>
      <c r="AC124" s="452"/>
      <c r="AD124" s="453"/>
      <c r="AE124" s="453"/>
      <c r="AF124" s="453"/>
      <c r="AG124" s="449"/>
      <c r="AH124" s="454"/>
      <c r="AI124" s="449"/>
      <c r="AJ124" s="449"/>
      <c r="AL124" s="449"/>
      <c r="AM124" s="449"/>
      <c r="AN124" s="450"/>
      <c r="AO124" s="450"/>
      <c r="AP124" s="450"/>
      <c r="AQ124" s="449"/>
      <c r="AR124" s="449"/>
      <c r="AS124" s="449"/>
      <c r="AT124" s="449"/>
      <c r="AU124" s="451"/>
      <c r="AV124" s="452"/>
      <c r="AW124" s="453"/>
      <c r="AX124" s="453"/>
      <c r="AY124" s="453"/>
      <c r="AZ124" s="449"/>
      <c r="BA124" s="454"/>
      <c r="BB124" s="449"/>
      <c r="BC124" s="449"/>
    </row>
    <row r="125" spans="11:55" ht="14.25" customHeight="1">
      <c r="K125" s="434" t="str">
        <f t="shared" si="61"/>
        <v/>
      </c>
      <c r="S125" s="449"/>
      <c r="T125" s="449"/>
      <c r="U125" s="450"/>
      <c r="V125" s="450"/>
      <c r="W125" s="450"/>
      <c r="X125" s="449"/>
      <c r="Y125" s="449"/>
      <c r="Z125" s="449"/>
      <c r="AA125" s="449"/>
      <c r="AB125" s="451"/>
      <c r="AC125" s="452"/>
      <c r="AD125" s="453"/>
      <c r="AE125" s="453"/>
      <c r="AF125" s="453"/>
      <c r="AG125" s="449"/>
      <c r="AH125" s="454"/>
      <c r="AI125" s="449"/>
      <c r="AJ125" s="449"/>
      <c r="AL125" s="449"/>
      <c r="AM125" s="449"/>
      <c r="AN125" s="450"/>
      <c r="AO125" s="450"/>
      <c r="AP125" s="450"/>
      <c r="AQ125" s="449"/>
      <c r="AR125" s="449"/>
      <c r="AS125" s="449"/>
      <c r="AT125" s="449"/>
      <c r="AU125" s="451"/>
      <c r="AV125" s="452"/>
      <c r="AW125" s="453"/>
      <c r="AX125" s="453"/>
      <c r="AY125" s="453"/>
      <c r="AZ125" s="449"/>
      <c r="BA125" s="454"/>
      <c r="BB125" s="449"/>
      <c r="BC125" s="449"/>
    </row>
    <row r="126" spans="11:55" ht="14.25" customHeight="1">
      <c r="K126" s="434" t="str">
        <f t="shared" si="61"/>
        <v/>
      </c>
      <c r="S126" s="449"/>
      <c r="T126" s="449"/>
      <c r="U126" s="450"/>
      <c r="V126" s="450"/>
      <c r="W126" s="450"/>
      <c r="X126" s="449"/>
      <c r="Y126" s="449"/>
      <c r="Z126" s="449"/>
      <c r="AA126" s="449"/>
      <c r="AB126" s="451"/>
      <c r="AC126" s="452"/>
      <c r="AD126" s="453"/>
      <c r="AE126" s="453"/>
      <c r="AF126" s="453"/>
      <c r="AG126" s="449"/>
      <c r="AH126" s="454"/>
      <c r="AI126" s="449"/>
      <c r="AJ126" s="449"/>
      <c r="AL126" s="449"/>
      <c r="AM126" s="449"/>
      <c r="AN126" s="450"/>
      <c r="AO126" s="450"/>
      <c r="AP126" s="450"/>
      <c r="AQ126" s="449"/>
      <c r="AR126" s="449"/>
      <c r="AS126" s="449"/>
      <c r="AT126" s="449"/>
      <c r="AU126" s="451"/>
      <c r="AV126" s="452"/>
      <c r="AW126" s="453"/>
      <c r="AX126" s="453"/>
      <c r="AY126" s="453"/>
      <c r="AZ126" s="449"/>
      <c r="BA126" s="454"/>
      <c r="BB126" s="449"/>
      <c r="BC126" s="449"/>
    </row>
    <row r="127" spans="11:55" ht="14.25" customHeight="1">
      <c r="K127" s="434" t="str">
        <f t="shared" si="61"/>
        <v/>
      </c>
      <c r="S127" s="449"/>
      <c r="T127" s="449"/>
      <c r="U127" s="450"/>
      <c r="V127" s="450"/>
      <c r="W127" s="450"/>
      <c r="X127" s="449"/>
      <c r="Y127" s="449"/>
      <c r="Z127" s="449"/>
      <c r="AA127" s="449"/>
      <c r="AB127" s="451"/>
      <c r="AC127" s="452"/>
      <c r="AD127" s="453"/>
      <c r="AE127" s="453"/>
      <c r="AF127" s="453"/>
      <c r="AG127" s="449"/>
      <c r="AH127" s="454"/>
      <c r="AI127" s="449"/>
      <c r="AJ127" s="449"/>
      <c r="AL127" s="449"/>
      <c r="AM127" s="449"/>
      <c r="AN127" s="450"/>
      <c r="AO127" s="450"/>
      <c r="AP127" s="450"/>
      <c r="AQ127" s="449"/>
      <c r="AR127" s="449"/>
      <c r="AS127" s="449"/>
      <c r="AT127" s="449"/>
      <c r="AU127" s="451"/>
      <c r="AV127" s="452"/>
      <c r="AW127" s="453"/>
      <c r="AX127" s="453"/>
      <c r="AY127" s="453"/>
      <c r="AZ127" s="449"/>
      <c r="BA127" s="454"/>
      <c r="BB127" s="449"/>
      <c r="BC127" s="449"/>
    </row>
    <row r="128" spans="11:55" ht="14.25" customHeight="1">
      <c r="K128" s="434" t="str">
        <f t="shared" si="61"/>
        <v/>
      </c>
      <c r="S128" s="449"/>
      <c r="T128" s="449"/>
      <c r="U128" s="450"/>
      <c r="V128" s="450"/>
      <c r="W128" s="450"/>
      <c r="X128" s="449"/>
      <c r="Y128" s="449"/>
      <c r="Z128" s="449"/>
      <c r="AA128" s="449"/>
      <c r="AB128" s="451"/>
      <c r="AC128" s="452"/>
      <c r="AD128" s="453"/>
      <c r="AE128" s="453"/>
      <c r="AF128" s="453"/>
      <c r="AG128" s="449"/>
      <c r="AH128" s="454"/>
      <c r="AI128" s="449"/>
      <c r="AJ128" s="449"/>
      <c r="AL128" s="449"/>
      <c r="AM128" s="449"/>
      <c r="AN128" s="450"/>
      <c r="AO128" s="450"/>
      <c r="AP128" s="450"/>
      <c r="AQ128" s="449"/>
      <c r="AR128" s="449"/>
      <c r="AS128" s="449"/>
      <c r="AT128" s="449"/>
      <c r="AU128" s="451"/>
      <c r="AV128" s="452"/>
      <c r="AW128" s="453"/>
      <c r="AX128" s="453"/>
      <c r="AY128" s="453"/>
      <c r="AZ128" s="449"/>
      <c r="BA128" s="454"/>
      <c r="BB128" s="449"/>
      <c r="BC128" s="449"/>
    </row>
    <row r="129" spans="11:55" ht="14.25" customHeight="1">
      <c r="K129" s="434" t="str">
        <f t="shared" si="61"/>
        <v/>
      </c>
      <c r="S129" s="449"/>
      <c r="T129" s="449"/>
      <c r="U129" s="450"/>
      <c r="V129" s="450"/>
      <c r="W129" s="450"/>
      <c r="X129" s="449"/>
      <c r="Y129" s="449"/>
      <c r="Z129" s="449"/>
      <c r="AA129" s="449"/>
      <c r="AB129" s="451"/>
      <c r="AC129" s="452"/>
      <c r="AD129" s="453"/>
      <c r="AE129" s="453"/>
      <c r="AF129" s="453"/>
      <c r="AG129" s="449"/>
      <c r="AH129" s="454"/>
      <c r="AI129" s="449"/>
      <c r="AJ129" s="449"/>
      <c r="AL129" s="449"/>
      <c r="AM129" s="449"/>
      <c r="AN129" s="450"/>
      <c r="AO129" s="450"/>
      <c r="AP129" s="450"/>
      <c r="AQ129" s="449"/>
      <c r="AR129" s="449"/>
      <c r="AS129" s="449"/>
      <c r="AT129" s="449"/>
      <c r="AU129" s="451"/>
      <c r="AV129" s="452"/>
      <c r="AW129" s="453"/>
      <c r="AX129" s="453"/>
      <c r="AY129" s="453"/>
      <c r="AZ129" s="449"/>
      <c r="BA129" s="454"/>
      <c r="BB129" s="449"/>
      <c r="BC129" s="449"/>
    </row>
    <row r="130" spans="11:55" ht="14.25" customHeight="1">
      <c r="K130" s="434" t="str">
        <f t="shared" si="61"/>
        <v/>
      </c>
      <c r="S130" s="449"/>
      <c r="T130" s="449"/>
      <c r="U130" s="450"/>
      <c r="V130" s="450"/>
      <c r="W130" s="450"/>
      <c r="X130" s="449"/>
      <c r="Y130" s="449"/>
      <c r="Z130" s="449"/>
      <c r="AA130" s="449"/>
      <c r="AB130" s="451"/>
      <c r="AC130" s="452"/>
      <c r="AD130" s="453"/>
      <c r="AE130" s="453"/>
      <c r="AF130" s="453"/>
      <c r="AG130" s="449"/>
      <c r="AH130" s="454"/>
      <c r="AI130" s="449"/>
      <c r="AJ130" s="449"/>
      <c r="AL130" s="449"/>
      <c r="AM130" s="449"/>
      <c r="AN130" s="450"/>
      <c r="AO130" s="450"/>
      <c r="AP130" s="450"/>
      <c r="AQ130" s="449"/>
      <c r="AR130" s="449"/>
      <c r="AS130" s="449"/>
      <c r="AT130" s="449"/>
      <c r="AU130" s="451"/>
      <c r="AV130" s="452"/>
      <c r="AW130" s="453"/>
      <c r="AX130" s="453"/>
      <c r="AY130" s="453"/>
      <c r="AZ130" s="449"/>
      <c r="BA130" s="454"/>
      <c r="BB130" s="449"/>
      <c r="BC130" s="449"/>
    </row>
    <row r="131" spans="11:55" ht="14.25" customHeight="1">
      <c r="K131" s="434" t="str">
        <f t="shared" ref="K131:K194" si="70">IF(V131&gt;0,AC131, "")</f>
        <v/>
      </c>
      <c r="S131" s="449"/>
      <c r="T131" s="449"/>
      <c r="U131" s="450"/>
      <c r="V131" s="450"/>
      <c r="W131" s="450"/>
      <c r="X131" s="449"/>
      <c r="Y131" s="449"/>
      <c r="Z131" s="449"/>
      <c r="AA131" s="449"/>
      <c r="AB131" s="451"/>
      <c r="AC131" s="452"/>
      <c r="AD131" s="453"/>
      <c r="AE131" s="453"/>
      <c r="AF131" s="453"/>
      <c r="AG131" s="449"/>
      <c r="AH131" s="454"/>
      <c r="AI131" s="449"/>
      <c r="AJ131" s="449"/>
      <c r="AL131" s="449"/>
      <c r="AM131" s="449"/>
      <c r="AN131" s="450"/>
      <c r="AO131" s="450"/>
      <c r="AP131" s="450"/>
      <c r="AQ131" s="449"/>
      <c r="AR131" s="449"/>
      <c r="AS131" s="449"/>
      <c r="AT131" s="449"/>
      <c r="AU131" s="451"/>
      <c r="AV131" s="452"/>
      <c r="AW131" s="453"/>
      <c r="AX131" s="453"/>
      <c r="AY131" s="453"/>
      <c r="AZ131" s="449"/>
      <c r="BA131" s="454"/>
      <c r="BB131" s="449"/>
      <c r="BC131" s="449"/>
    </row>
    <row r="132" spans="11:55" ht="14.25" customHeight="1">
      <c r="K132" s="434" t="str">
        <f t="shared" si="70"/>
        <v/>
      </c>
      <c r="S132" s="449"/>
      <c r="T132" s="449"/>
      <c r="U132" s="450"/>
      <c r="V132" s="450"/>
      <c r="W132" s="450"/>
      <c r="X132" s="449"/>
      <c r="Y132" s="449"/>
      <c r="Z132" s="449"/>
      <c r="AA132" s="449"/>
      <c r="AB132" s="451"/>
      <c r="AC132" s="452"/>
      <c r="AD132" s="453"/>
      <c r="AE132" s="453"/>
      <c r="AF132" s="453"/>
      <c r="AG132" s="449"/>
      <c r="AH132" s="454"/>
      <c r="AI132" s="449"/>
      <c r="AJ132" s="449"/>
      <c r="AL132" s="449"/>
      <c r="AM132" s="449"/>
      <c r="AN132" s="450"/>
      <c r="AO132" s="450"/>
      <c r="AP132" s="450"/>
      <c r="AQ132" s="449"/>
      <c r="AR132" s="449"/>
      <c r="AS132" s="449"/>
      <c r="AT132" s="449"/>
      <c r="AU132" s="451"/>
      <c r="AV132" s="452"/>
      <c r="AW132" s="453"/>
      <c r="AX132" s="453"/>
      <c r="AY132" s="453"/>
      <c r="AZ132" s="449"/>
      <c r="BA132" s="454"/>
      <c r="BB132" s="449"/>
      <c r="BC132" s="449"/>
    </row>
    <row r="133" spans="11:55" ht="14.25" customHeight="1">
      <c r="K133" s="434" t="str">
        <f t="shared" si="70"/>
        <v/>
      </c>
      <c r="S133" s="449"/>
      <c r="T133" s="449"/>
      <c r="U133" s="450"/>
      <c r="V133" s="450"/>
      <c r="W133" s="450"/>
      <c r="X133" s="449"/>
      <c r="Y133" s="449"/>
      <c r="Z133" s="449"/>
      <c r="AA133" s="449"/>
      <c r="AB133" s="451"/>
      <c r="AC133" s="452"/>
      <c r="AD133" s="453"/>
      <c r="AE133" s="453"/>
      <c r="AF133" s="453"/>
      <c r="AG133" s="449"/>
      <c r="AH133" s="454"/>
      <c r="AI133" s="449"/>
      <c r="AJ133" s="449"/>
      <c r="AL133" s="449"/>
      <c r="AM133" s="449"/>
      <c r="AN133" s="450"/>
      <c r="AO133" s="450"/>
      <c r="AP133" s="450"/>
      <c r="AQ133" s="449"/>
      <c r="AR133" s="449"/>
      <c r="AS133" s="449"/>
      <c r="AT133" s="449"/>
      <c r="AU133" s="451"/>
      <c r="AV133" s="452"/>
      <c r="AW133" s="453"/>
      <c r="AX133" s="453"/>
      <c r="AY133" s="453"/>
      <c r="AZ133" s="449"/>
      <c r="BA133" s="454"/>
      <c r="BB133" s="449"/>
      <c r="BC133" s="449"/>
    </row>
    <row r="134" spans="11:55" ht="14.25" customHeight="1">
      <c r="K134" s="434" t="str">
        <f t="shared" si="70"/>
        <v/>
      </c>
      <c r="S134" s="449"/>
      <c r="T134" s="449"/>
      <c r="U134" s="450"/>
      <c r="V134" s="450"/>
      <c r="W134" s="450"/>
      <c r="X134" s="449"/>
      <c r="Y134" s="449"/>
      <c r="Z134" s="449"/>
      <c r="AA134" s="449"/>
      <c r="AB134" s="451"/>
      <c r="AC134" s="452"/>
      <c r="AD134" s="453"/>
      <c r="AE134" s="453"/>
      <c r="AF134" s="453"/>
      <c r="AG134" s="449"/>
      <c r="AH134" s="454"/>
      <c r="AI134" s="449"/>
      <c r="AJ134" s="449"/>
      <c r="AL134" s="449"/>
      <c r="AM134" s="449"/>
      <c r="AN134" s="450"/>
      <c r="AO134" s="450"/>
      <c r="AP134" s="450"/>
      <c r="AQ134" s="449"/>
      <c r="AR134" s="449"/>
      <c r="AS134" s="449"/>
      <c r="AT134" s="449"/>
      <c r="AU134" s="451"/>
      <c r="AV134" s="452"/>
      <c r="AW134" s="453"/>
      <c r="AX134" s="453"/>
      <c r="AY134" s="453"/>
      <c r="AZ134" s="449"/>
      <c r="BA134" s="454"/>
      <c r="BB134" s="449"/>
      <c r="BC134" s="449"/>
    </row>
    <row r="135" spans="11:55" ht="15.75" customHeight="1">
      <c r="K135" s="434" t="str">
        <f t="shared" si="70"/>
        <v/>
      </c>
    </row>
    <row r="136" spans="11:55" ht="15.75" customHeight="1">
      <c r="K136" s="434" t="str">
        <f t="shared" si="70"/>
        <v/>
      </c>
    </row>
    <row r="137" spans="11:55" ht="15.75" customHeight="1">
      <c r="K137" s="434" t="str">
        <f t="shared" si="70"/>
        <v/>
      </c>
    </row>
    <row r="138" spans="11:55" ht="15.75" customHeight="1">
      <c r="K138" s="434" t="str">
        <f t="shared" si="70"/>
        <v/>
      </c>
    </row>
    <row r="139" spans="11:55" ht="15.75" customHeight="1">
      <c r="K139" s="434" t="str">
        <f t="shared" si="70"/>
        <v/>
      </c>
    </row>
    <row r="140" spans="11:55" ht="15.75" customHeight="1">
      <c r="K140" s="434" t="str">
        <f t="shared" si="70"/>
        <v/>
      </c>
    </row>
    <row r="141" spans="11:55" ht="15.75" customHeight="1">
      <c r="K141" s="434" t="str">
        <f t="shared" si="70"/>
        <v/>
      </c>
    </row>
    <row r="142" spans="11:55" ht="15.75" customHeight="1">
      <c r="K142" s="434" t="str">
        <f t="shared" si="70"/>
        <v/>
      </c>
    </row>
    <row r="143" spans="11:55" ht="15.75" customHeight="1">
      <c r="K143" s="434" t="str">
        <f t="shared" si="70"/>
        <v/>
      </c>
    </row>
    <row r="144" spans="11:55" ht="15.75" customHeight="1">
      <c r="K144" s="434" t="str">
        <f t="shared" si="70"/>
        <v/>
      </c>
    </row>
    <row r="145" spans="11:11" ht="15.75" customHeight="1">
      <c r="K145" s="434" t="str">
        <f t="shared" si="70"/>
        <v/>
      </c>
    </row>
    <row r="146" spans="11:11" ht="15.75" customHeight="1">
      <c r="K146" s="434" t="str">
        <f t="shared" si="70"/>
        <v/>
      </c>
    </row>
    <row r="147" spans="11:11" ht="15.75" customHeight="1">
      <c r="K147" s="434" t="str">
        <f t="shared" si="70"/>
        <v/>
      </c>
    </row>
    <row r="148" spans="11:11" ht="15.75" customHeight="1">
      <c r="K148" s="434" t="str">
        <f t="shared" si="70"/>
        <v/>
      </c>
    </row>
    <row r="149" spans="11:11" ht="15.75" customHeight="1">
      <c r="K149" s="434" t="str">
        <f t="shared" si="70"/>
        <v/>
      </c>
    </row>
    <row r="150" spans="11:11" ht="15.75" customHeight="1">
      <c r="K150" s="434" t="str">
        <f t="shared" si="70"/>
        <v/>
      </c>
    </row>
    <row r="151" spans="11:11" ht="15.75" customHeight="1">
      <c r="K151" s="434" t="str">
        <f t="shared" si="70"/>
        <v/>
      </c>
    </row>
    <row r="152" spans="11:11" ht="15.75" customHeight="1">
      <c r="K152" s="434" t="str">
        <f t="shared" si="70"/>
        <v/>
      </c>
    </row>
    <row r="153" spans="11:11" ht="15.75" customHeight="1">
      <c r="K153" s="434" t="str">
        <f t="shared" si="70"/>
        <v/>
      </c>
    </row>
    <row r="154" spans="11:11" ht="15.75" customHeight="1">
      <c r="K154" s="434" t="str">
        <f t="shared" si="70"/>
        <v/>
      </c>
    </row>
    <row r="155" spans="11:11" ht="15.75" customHeight="1">
      <c r="K155" s="434" t="str">
        <f t="shared" si="70"/>
        <v/>
      </c>
    </row>
    <row r="156" spans="11:11" ht="15.75" customHeight="1">
      <c r="K156" s="434" t="str">
        <f t="shared" si="70"/>
        <v/>
      </c>
    </row>
    <row r="157" spans="11:11" ht="15.75" customHeight="1">
      <c r="K157" s="434" t="str">
        <f t="shared" si="70"/>
        <v/>
      </c>
    </row>
    <row r="158" spans="11:11" ht="15.75" customHeight="1">
      <c r="K158" s="434" t="str">
        <f t="shared" si="70"/>
        <v/>
      </c>
    </row>
    <row r="159" spans="11:11" ht="15.75" customHeight="1">
      <c r="K159" s="434" t="str">
        <f t="shared" si="70"/>
        <v/>
      </c>
    </row>
    <row r="160" spans="11:11" ht="15.75" customHeight="1">
      <c r="K160" s="434" t="str">
        <f t="shared" si="70"/>
        <v/>
      </c>
    </row>
    <row r="161" spans="11:11" ht="15.75" customHeight="1">
      <c r="K161" s="434" t="str">
        <f t="shared" si="70"/>
        <v/>
      </c>
    </row>
    <row r="162" spans="11:11" ht="15.75" customHeight="1">
      <c r="K162" s="434" t="str">
        <f t="shared" si="70"/>
        <v/>
      </c>
    </row>
    <row r="163" spans="11:11" ht="15.75" customHeight="1">
      <c r="K163" s="434" t="str">
        <f t="shared" si="70"/>
        <v/>
      </c>
    </row>
    <row r="164" spans="11:11" ht="15.75" customHeight="1">
      <c r="K164" s="434" t="str">
        <f t="shared" si="70"/>
        <v/>
      </c>
    </row>
    <row r="165" spans="11:11" ht="15.75" customHeight="1">
      <c r="K165" s="434" t="str">
        <f t="shared" si="70"/>
        <v/>
      </c>
    </row>
    <row r="166" spans="11:11" ht="15.75" customHeight="1">
      <c r="K166" s="434" t="str">
        <f t="shared" si="70"/>
        <v/>
      </c>
    </row>
    <row r="167" spans="11:11" ht="15.75" customHeight="1">
      <c r="K167" s="434" t="str">
        <f t="shared" si="70"/>
        <v/>
      </c>
    </row>
    <row r="168" spans="11:11" ht="15.75" customHeight="1">
      <c r="K168" s="434" t="str">
        <f t="shared" si="70"/>
        <v/>
      </c>
    </row>
    <row r="169" spans="11:11" ht="15.75" customHeight="1">
      <c r="K169" s="434" t="str">
        <f t="shared" si="70"/>
        <v/>
      </c>
    </row>
    <row r="170" spans="11:11" ht="15.75" customHeight="1">
      <c r="K170" s="434" t="str">
        <f t="shared" si="70"/>
        <v/>
      </c>
    </row>
    <row r="171" spans="11:11" ht="15.75" customHeight="1">
      <c r="K171" s="434" t="str">
        <f t="shared" si="70"/>
        <v/>
      </c>
    </row>
    <row r="172" spans="11:11" ht="15.75" customHeight="1">
      <c r="K172" s="434" t="str">
        <f t="shared" si="70"/>
        <v/>
      </c>
    </row>
    <row r="173" spans="11:11" ht="15.75" customHeight="1">
      <c r="K173" s="434" t="str">
        <f t="shared" si="70"/>
        <v/>
      </c>
    </row>
    <row r="174" spans="11:11" ht="15.75" customHeight="1">
      <c r="K174" s="434" t="str">
        <f t="shared" si="70"/>
        <v/>
      </c>
    </row>
    <row r="175" spans="11:11" ht="15.75" customHeight="1">
      <c r="K175" s="434" t="str">
        <f t="shared" si="70"/>
        <v/>
      </c>
    </row>
    <row r="176" spans="11:11" ht="15.75" customHeight="1">
      <c r="K176" s="434" t="str">
        <f t="shared" si="70"/>
        <v/>
      </c>
    </row>
    <row r="177" spans="11:11" ht="15.75" customHeight="1">
      <c r="K177" s="434" t="str">
        <f t="shared" si="70"/>
        <v/>
      </c>
    </row>
    <row r="178" spans="11:11" ht="15.75" customHeight="1">
      <c r="K178" s="434" t="str">
        <f t="shared" si="70"/>
        <v/>
      </c>
    </row>
    <row r="179" spans="11:11" ht="15.75" customHeight="1">
      <c r="K179" s="434" t="str">
        <f t="shared" si="70"/>
        <v/>
      </c>
    </row>
    <row r="180" spans="11:11" ht="15.75" customHeight="1">
      <c r="K180" s="434" t="str">
        <f t="shared" si="70"/>
        <v/>
      </c>
    </row>
    <row r="181" spans="11:11" ht="15.75" customHeight="1">
      <c r="K181" s="434" t="str">
        <f t="shared" si="70"/>
        <v/>
      </c>
    </row>
    <row r="182" spans="11:11" ht="15.75" customHeight="1">
      <c r="K182" s="434" t="str">
        <f t="shared" si="70"/>
        <v/>
      </c>
    </row>
    <row r="183" spans="11:11" ht="15.75" customHeight="1">
      <c r="K183" s="434" t="str">
        <f t="shared" si="70"/>
        <v/>
      </c>
    </row>
    <row r="184" spans="11:11" ht="15.75" customHeight="1">
      <c r="K184" s="434" t="str">
        <f t="shared" si="70"/>
        <v/>
      </c>
    </row>
    <row r="185" spans="11:11" ht="15.75" customHeight="1">
      <c r="K185" s="434" t="str">
        <f t="shared" si="70"/>
        <v/>
      </c>
    </row>
    <row r="186" spans="11:11" ht="15.75" customHeight="1">
      <c r="K186" s="434" t="str">
        <f t="shared" si="70"/>
        <v/>
      </c>
    </row>
    <row r="187" spans="11:11" ht="15.75" customHeight="1">
      <c r="K187" s="434" t="str">
        <f t="shared" si="70"/>
        <v/>
      </c>
    </row>
    <row r="188" spans="11:11" ht="15.75" customHeight="1">
      <c r="K188" s="434" t="str">
        <f t="shared" si="70"/>
        <v/>
      </c>
    </row>
    <row r="189" spans="11:11" ht="15.75" customHeight="1">
      <c r="K189" s="434" t="str">
        <f t="shared" si="70"/>
        <v/>
      </c>
    </row>
    <row r="190" spans="11:11" ht="15.75" customHeight="1">
      <c r="K190" s="434" t="str">
        <f t="shared" si="70"/>
        <v/>
      </c>
    </row>
    <row r="191" spans="11:11" ht="15.75" customHeight="1">
      <c r="K191" s="434" t="str">
        <f t="shared" si="70"/>
        <v/>
      </c>
    </row>
    <row r="192" spans="11:11" ht="15.75" customHeight="1">
      <c r="K192" s="434" t="str">
        <f t="shared" si="70"/>
        <v/>
      </c>
    </row>
    <row r="193" spans="11:11" ht="15.75" customHeight="1">
      <c r="K193" s="434" t="str">
        <f t="shared" si="70"/>
        <v/>
      </c>
    </row>
    <row r="194" spans="11:11" ht="15.75" customHeight="1">
      <c r="K194" s="434" t="str">
        <f t="shared" si="70"/>
        <v/>
      </c>
    </row>
    <row r="195" spans="11:11" ht="15.75" customHeight="1">
      <c r="K195" s="434" t="str">
        <f t="shared" ref="K195:K225" si="71">IF(V195&gt;0,AC195, "")</f>
        <v/>
      </c>
    </row>
    <row r="196" spans="11:11" ht="15.75" customHeight="1">
      <c r="K196" s="434" t="str">
        <f t="shared" si="71"/>
        <v/>
      </c>
    </row>
    <row r="197" spans="11:11" ht="15.75" customHeight="1">
      <c r="K197" s="434" t="str">
        <f t="shared" si="71"/>
        <v/>
      </c>
    </row>
    <row r="198" spans="11:11" ht="15.75" customHeight="1">
      <c r="K198" s="434" t="str">
        <f t="shared" si="71"/>
        <v/>
      </c>
    </row>
    <row r="199" spans="11:11" ht="15.75" customHeight="1">
      <c r="K199" s="434" t="str">
        <f t="shared" si="71"/>
        <v/>
      </c>
    </row>
    <row r="200" spans="11:11" ht="15.75" customHeight="1">
      <c r="K200" s="434" t="str">
        <f t="shared" si="71"/>
        <v/>
      </c>
    </row>
    <row r="201" spans="11:11" ht="15.75" customHeight="1">
      <c r="K201" s="434" t="str">
        <f t="shared" si="71"/>
        <v/>
      </c>
    </row>
    <row r="202" spans="11:11" ht="15.75" customHeight="1">
      <c r="K202" s="434" t="str">
        <f t="shared" si="71"/>
        <v/>
      </c>
    </row>
    <row r="203" spans="11:11" ht="15.75" customHeight="1">
      <c r="K203" s="434" t="str">
        <f t="shared" si="71"/>
        <v/>
      </c>
    </row>
    <row r="204" spans="11:11" ht="15.75" customHeight="1">
      <c r="K204" s="434" t="str">
        <f t="shared" si="71"/>
        <v/>
      </c>
    </row>
    <row r="205" spans="11:11" ht="15.75" customHeight="1">
      <c r="K205" s="434" t="str">
        <f t="shared" si="71"/>
        <v/>
      </c>
    </row>
    <row r="206" spans="11:11" ht="15.75" customHeight="1">
      <c r="K206" s="434" t="str">
        <f t="shared" si="71"/>
        <v/>
      </c>
    </row>
    <row r="207" spans="11:11" ht="15.75" customHeight="1">
      <c r="K207" s="434" t="str">
        <f t="shared" si="71"/>
        <v/>
      </c>
    </row>
    <row r="208" spans="11:11" ht="15.75" customHeight="1">
      <c r="K208" s="434" t="str">
        <f t="shared" si="71"/>
        <v/>
      </c>
    </row>
    <row r="209" spans="11:11" ht="15.75" customHeight="1">
      <c r="K209" s="434" t="str">
        <f t="shared" si="71"/>
        <v/>
      </c>
    </row>
    <row r="210" spans="11:11" ht="15.75" customHeight="1">
      <c r="K210" s="434" t="str">
        <f t="shared" si="71"/>
        <v/>
      </c>
    </row>
    <row r="211" spans="11:11" ht="15.75" customHeight="1">
      <c r="K211" s="434" t="str">
        <f t="shared" si="71"/>
        <v/>
      </c>
    </row>
    <row r="212" spans="11:11" ht="15.75" customHeight="1">
      <c r="K212" s="434" t="str">
        <f t="shared" si="71"/>
        <v/>
      </c>
    </row>
    <row r="213" spans="11:11" ht="15.75" customHeight="1">
      <c r="K213" s="434" t="str">
        <f t="shared" si="71"/>
        <v/>
      </c>
    </row>
    <row r="214" spans="11:11" ht="15.75" customHeight="1">
      <c r="K214" s="434" t="str">
        <f t="shared" si="71"/>
        <v/>
      </c>
    </row>
    <row r="215" spans="11:11" ht="15.75" customHeight="1">
      <c r="K215" s="434" t="str">
        <f t="shared" si="71"/>
        <v/>
      </c>
    </row>
    <row r="216" spans="11:11" ht="15.75" customHeight="1">
      <c r="K216" s="434" t="str">
        <f t="shared" si="71"/>
        <v/>
      </c>
    </row>
    <row r="217" spans="11:11" ht="15.75" customHeight="1">
      <c r="K217" s="434" t="str">
        <f t="shared" si="71"/>
        <v/>
      </c>
    </row>
    <row r="218" spans="11:11" ht="15.75" customHeight="1">
      <c r="K218" s="434" t="str">
        <f t="shared" si="71"/>
        <v/>
      </c>
    </row>
    <row r="219" spans="11:11" ht="15.75" customHeight="1">
      <c r="K219" s="434" t="str">
        <f t="shared" si="71"/>
        <v/>
      </c>
    </row>
    <row r="220" spans="11:11" ht="15.75" customHeight="1">
      <c r="K220" s="434" t="str">
        <f t="shared" si="71"/>
        <v/>
      </c>
    </row>
    <row r="221" spans="11:11" ht="15.75" customHeight="1">
      <c r="K221" s="434" t="str">
        <f t="shared" si="71"/>
        <v/>
      </c>
    </row>
    <row r="222" spans="11:11" ht="15.75" customHeight="1">
      <c r="K222" s="434" t="str">
        <f t="shared" si="71"/>
        <v/>
      </c>
    </row>
    <row r="223" spans="11:11" ht="15.75" customHeight="1">
      <c r="K223" s="434" t="str">
        <f t="shared" si="71"/>
        <v/>
      </c>
    </row>
    <row r="224" spans="11:11" ht="15.75" customHeight="1">
      <c r="K224" s="434" t="str">
        <f t="shared" si="71"/>
        <v/>
      </c>
    </row>
    <row r="225" spans="11:11" ht="15.75" customHeight="1">
      <c r="K225" s="434" t="str">
        <f t="shared" si="71"/>
        <v/>
      </c>
    </row>
    <row r="226" spans="11:11" ht="15.75" customHeight="1"/>
    <row r="227" spans="11:11" ht="15.75" customHeight="1"/>
    <row r="228" spans="11:11" ht="15.75" customHeight="1"/>
    <row r="229" spans="11:11" ht="15.75" customHeight="1"/>
    <row r="230" spans="11:11" ht="15.75" customHeight="1"/>
    <row r="231" spans="11:11" ht="15.75" customHeight="1"/>
    <row r="232" spans="11:11" ht="15.75" customHeight="1"/>
    <row r="233" spans="11:11" ht="15.75" customHeight="1"/>
    <row r="234" spans="11:11" ht="15.75" customHeight="1"/>
    <row r="235" spans="11:11" ht="15.75" customHeight="1"/>
    <row r="236" spans="11:11" ht="15.75" customHeight="1"/>
    <row r="237" spans="11:11" ht="15.75" customHeight="1"/>
    <row r="238" spans="11:11" ht="15.75" customHeight="1"/>
    <row r="239" spans="11:11" ht="15.75" customHeight="1"/>
    <row r="240" spans="11:1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sheetData>
  <pageMargins left="0.69930555555555596" right="0.69930555555555596"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F8CBE-4145-43CC-9A50-03ACD2E35E1A}">
  <dimension ref="A1:P63"/>
  <sheetViews>
    <sheetView zoomScale="96" zoomScaleNormal="85" workbookViewId="0">
      <selection activeCell="U12" sqref="U12"/>
    </sheetView>
  </sheetViews>
  <sheetFormatPr defaultColWidth="6.75" defaultRowHeight="14.4"/>
  <cols>
    <col min="1" max="2" width="18.58203125" style="466" customWidth="1"/>
    <col min="3" max="3" width="32.25" style="466" customWidth="1"/>
    <col min="4" max="4" width="6.4140625" style="466" bestFit="1" customWidth="1"/>
    <col min="5" max="5" width="13.75" style="467" customWidth="1"/>
    <col min="6" max="6" width="7.25" style="461" customWidth="1"/>
    <col min="7" max="7" width="2.1640625" style="461" customWidth="1"/>
    <col min="8" max="8" width="26.25" style="460" customWidth="1"/>
    <col min="9" max="9" width="13.75" style="460" customWidth="1"/>
    <col min="10" max="11" width="13.75" style="460" hidden="1" customWidth="1"/>
    <col min="12" max="12" width="35" style="462" hidden="1" customWidth="1"/>
    <col min="13" max="14" width="6.75" style="460"/>
    <col min="15" max="16" width="9.25" style="460" bestFit="1" customWidth="1"/>
    <col min="17" max="16384" width="6.75" style="460"/>
  </cols>
  <sheetData>
    <row r="1" spans="1:14">
      <c r="A1" s="456" t="s">
        <v>232</v>
      </c>
      <c r="B1" s="456" t="s">
        <v>233</v>
      </c>
      <c r="C1" s="456" t="s">
        <v>234</v>
      </c>
      <c r="D1" s="456" t="s">
        <v>215</v>
      </c>
      <c r="E1" s="457" t="s">
        <v>235</v>
      </c>
      <c r="F1" s="458" t="s">
        <v>236</v>
      </c>
      <c r="G1" s="459"/>
      <c r="I1" s="461"/>
      <c r="L1" s="460"/>
      <c r="N1" s="462"/>
    </row>
    <row r="2" spans="1:14">
      <c r="A2" s="463" t="s">
        <v>237</v>
      </c>
      <c r="B2" s="464" t="s">
        <v>238</v>
      </c>
      <c r="C2" s="465" t="s">
        <v>239</v>
      </c>
      <c r="D2" s="466">
        <v>1</v>
      </c>
      <c r="E2" s="467">
        <f>SUM('BP-Rental Income v2'!N:N)</f>
        <v>0</v>
      </c>
      <c r="F2" s="468" t="e">
        <f>E2/SUM(E:E)</f>
        <v>#DIV/0!</v>
      </c>
      <c r="H2" s="460" t="s">
        <v>238</v>
      </c>
      <c r="I2" s="469">
        <f>SUMIF(B:B, H2, E:E)</f>
        <v>0</v>
      </c>
    </row>
    <row r="3" spans="1:14">
      <c r="A3" s="463" t="s">
        <v>240</v>
      </c>
      <c r="B3" s="466" t="s">
        <v>241</v>
      </c>
      <c r="C3" s="470" t="str">
        <f>IF('rent summary'!C35="[Additional Field - Specify]","[Other]",'rent summary'!C35)</f>
        <v>Less Vacancy Commercial</v>
      </c>
      <c r="D3" s="466">
        <f>IF(B2=B3, D2+1, 1)</f>
        <v>1</v>
      </c>
      <c r="E3" s="467">
        <f>-'rent summary'!G35</f>
        <v>0</v>
      </c>
      <c r="F3" s="468" t="e">
        <f t="shared" ref="F3:F28" si="0">E3/SUM(E:E)</f>
        <v>#DIV/0!</v>
      </c>
    </row>
    <row r="4" spans="1:14">
      <c r="A4" s="463" t="s">
        <v>240</v>
      </c>
      <c r="B4" s="466" t="s">
        <v>241</v>
      </c>
      <c r="C4" s="470" t="str">
        <f>IF('rent summary'!C28="[Additional Field - Specify]","[Other]",'rent summary'!C28)</f>
        <v>Less Vacancy</v>
      </c>
      <c r="D4" s="466">
        <f t="shared" ref="D4:D48" si="1">IF(B3=B4, D3+1, 1)</f>
        <v>2</v>
      </c>
      <c r="E4" s="467">
        <f>-'rent summary'!G28</f>
        <v>0</v>
      </c>
      <c r="F4" s="468" t="e">
        <f t="shared" si="0"/>
        <v>#DIV/0!</v>
      </c>
      <c r="H4" s="460" t="s">
        <v>242</v>
      </c>
      <c r="I4" s="467">
        <f>SUMIF(B:B, "Other Income", E:E)</f>
        <v>0</v>
      </c>
    </row>
    <row r="5" spans="1:14">
      <c r="A5" s="463" t="s">
        <v>243</v>
      </c>
      <c r="B5" s="466" t="s">
        <v>243</v>
      </c>
      <c r="C5" s="470" t="str">
        <f>IF('rent summary'!C32="[Additional Field - Specify]","[Other]",'rent summary'!C32)</f>
        <v>Laundry</v>
      </c>
      <c r="D5" s="466">
        <f t="shared" si="1"/>
        <v>1</v>
      </c>
      <c r="E5" s="467">
        <f>'rent summary'!G32</f>
        <v>0</v>
      </c>
      <c r="F5" s="468" t="e">
        <f t="shared" si="0"/>
        <v>#DIV/0!</v>
      </c>
      <c r="H5" s="460" t="s">
        <v>244</v>
      </c>
      <c r="I5" s="467">
        <f>I2-SUMIF(B:B, "Income Loss", E:E)</f>
        <v>0</v>
      </c>
    </row>
    <row r="6" spans="1:14">
      <c r="A6" s="463" t="s">
        <v>243</v>
      </c>
      <c r="B6" s="466" t="s">
        <v>243</v>
      </c>
      <c r="C6" s="470" t="str">
        <f>IF('rent summary'!C33="[Additional Field - Specify]","[Other]",'rent summary'!C33)</f>
        <v>Interest</v>
      </c>
      <c r="D6" s="466">
        <f t="shared" si="1"/>
        <v>2</v>
      </c>
      <c r="E6" s="467">
        <f>'rent summary'!G33</f>
        <v>0</v>
      </c>
      <c r="F6" s="468" t="e">
        <f t="shared" si="0"/>
        <v>#DIV/0!</v>
      </c>
      <c r="H6" s="460" t="s">
        <v>245</v>
      </c>
      <c r="I6" s="467">
        <f>I2+I4-SUMIF(B:B, "Income Loss", E:E)</f>
        <v>0</v>
      </c>
    </row>
    <row r="7" spans="1:14">
      <c r="A7" s="463" t="s">
        <v>243</v>
      </c>
      <c r="B7" s="466" t="s">
        <v>243</v>
      </c>
      <c r="C7" s="470" t="str">
        <f>IF('rent summary'!C34="[Additional Field - Specify]","[Other]",'rent summary'!C34)</f>
        <v>Commercial Space Income</v>
      </c>
      <c r="D7" s="466">
        <f t="shared" si="1"/>
        <v>3</v>
      </c>
      <c r="E7" s="467">
        <f>'rent summary'!G34</f>
        <v>0</v>
      </c>
      <c r="F7" s="468" t="e">
        <f t="shared" si="0"/>
        <v>#DIV/0!</v>
      </c>
      <c r="I7" s="467"/>
    </row>
    <row r="8" spans="1:14">
      <c r="A8" s="463" t="s">
        <v>243</v>
      </c>
      <c r="B8" s="466" t="s">
        <v>243</v>
      </c>
      <c r="C8" s="470" t="str">
        <f>IF('rent summary'!C36="[Additional Field - Specify]","[Other]",'rent summary'!C36)</f>
        <v>[Other]</v>
      </c>
      <c r="D8" s="466">
        <f t="shared" si="1"/>
        <v>4</v>
      </c>
      <c r="E8" s="467">
        <f>'rent summary'!G36</f>
        <v>0</v>
      </c>
      <c r="F8" s="468" t="e">
        <f t="shared" si="0"/>
        <v>#DIV/0!</v>
      </c>
      <c r="H8" s="484" t="s">
        <v>246</v>
      </c>
      <c r="I8" s="467"/>
    </row>
    <row r="9" spans="1:14">
      <c r="A9" s="463" t="s">
        <v>243</v>
      </c>
      <c r="B9" s="466" t="s">
        <v>243</v>
      </c>
      <c r="C9" s="470" t="str">
        <f>IF('rent summary'!C37="[Additional Field - Specify]","[Other]",'rent summary'!C37)</f>
        <v>[Other]</v>
      </c>
      <c r="D9" s="466">
        <f t="shared" si="1"/>
        <v>5</v>
      </c>
      <c r="E9" s="467">
        <f>'rent summary'!G37</f>
        <v>0</v>
      </c>
      <c r="F9" s="468" t="e">
        <f t="shared" si="0"/>
        <v>#DIV/0!</v>
      </c>
      <c r="H9" s="460" t="s">
        <v>247</v>
      </c>
      <c r="I9" s="467">
        <f t="shared" ref="I9:I14" si="2">SUMIF(B:B, H9, E:E)</f>
        <v>0</v>
      </c>
    </row>
    <row r="10" spans="1:14">
      <c r="A10" s="463" t="s">
        <v>248</v>
      </c>
      <c r="B10" s="463" t="s">
        <v>247</v>
      </c>
      <c r="C10" s="464" t="str">
        <f>IF(expenses!A10="[Additional Field - Specify]","[Other]",expenses!A10)</f>
        <v>Management Fee</v>
      </c>
      <c r="D10" s="466">
        <f t="shared" si="1"/>
        <v>1</v>
      </c>
      <c r="E10" s="467">
        <f>expenses!B10</f>
        <v>0</v>
      </c>
      <c r="F10" s="468" t="e">
        <f t="shared" si="0"/>
        <v>#DIV/0!</v>
      </c>
      <c r="H10" s="460" t="s">
        <v>249</v>
      </c>
      <c r="I10" s="467">
        <f t="shared" si="2"/>
        <v>0</v>
      </c>
    </row>
    <row r="11" spans="1:14">
      <c r="A11" s="463" t="s">
        <v>248</v>
      </c>
      <c r="B11" s="463" t="s">
        <v>249</v>
      </c>
      <c r="C11" s="470" t="str">
        <f>IF(expenses!A5="[Additional Field - Specify]","[Other]",expenses!A5)</f>
        <v>Audit Expense</v>
      </c>
      <c r="D11" s="466">
        <f t="shared" si="1"/>
        <v>1</v>
      </c>
      <c r="E11" s="467">
        <f>expenses!B5</f>
        <v>0</v>
      </c>
      <c r="F11" s="468" t="e">
        <f t="shared" si="0"/>
        <v>#DIV/0!</v>
      </c>
      <c r="H11" s="460" t="s">
        <v>250</v>
      </c>
      <c r="I11" s="467">
        <f t="shared" si="2"/>
        <v>0</v>
      </c>
    </row>
    <row r="12" spans="1:14">
      <c r="A12" s="463" t="s">
        <v>248</v>
      </c>
      <c r="B12" s="463" t="s">
        <v>249</v>
      </c>
      <c r="C12" s="470" t="str">
        <f>IF(expenses!A6="[Additional Field - Specify]","[Other]",expenses!A6)</f>
        <v>Bookkeeping Fees/Acctg Services</v>
      </c>
      <c r="D12" s="466">
        <f t="shared" si="1"/>
        <v>2</v>
      </c>
      <c r="E12" s="467">
        <f>expenses!B6</f>
        <v>0</v>
      </c>
      <c r="F12" s="468" t="e">
        <f t="shared" si="0"/>
        <v>#DIV/0!</v>
      </c>
      <c r="H12" s="460" t="s">
        <v>251</v>
      </c>
      <c r="I12" s="467">
        <f t="shared" si="2"/>
        <v>0</v>
      </c>
    </row>
    <row r="13" spans="1:14">
      <c r="A13" s="463" t="s">
        <v>248</v>
      </c>
      <c r="B13" s="463" t="s">
        <v>249</v>
      </c>
      <c r="C13" s="470" t="str">
        <f>IF(expenses!A7="[Additional Field - Specify]","[Other]",expenses!A7)</f>
        <v>Conventions &amp; Meetings</v>
      </c>
      <c r="D13" s="466">
        <f t="shared" si="1"/>
        <v>3</v>
      </c>
      <c r="E13" s="467">
        <f>expenses!B7</f>
        <v>0</v>
      </c>
      <c r="F13" s="468" t="e">
        <f t="shared" si="0"/>
        <v>#DIV/0!</v>
      </c>
      <c r="H13" s="460" t="s">
        <v>252</v>
      </c>
      <c r="I13" s="467">
        <f t="shared" si="2"/>
        <v>0</v>
      </c>
    </row>
    <row r="14" spans="1:14">
      <c r="A14" s="463" t="s">
        <v>248</v>
      </c>
      <c r="B14" s="463" t="s">
        <v>249</v>
      </c>
      <c r="C14" s="470" t="str">
        <f>IF(expenses!A8="[Additional Field - Specify]","[Other]",expenses!A8)</f>
        <v>Legal Expense</v>
      </c>
      <c r="D14" s="466">
        <f t="shared" si="1"/>
        <v>4</v>
      </c>
      <c r="E14" s="467">
        <f>expenses!B8</f>
        <v>0</v>
      </c>
      <c r="F14" s="468" t="e">
        <f t="shared" si="0"/>
        <v>#DIV/0!</v>
      </c>
      <c r="H14" s="460" t="s">
        <v>253</v>
      </c>
      <c r="I14" s="467">
        <f t="shared" si="2"/>
        <v>0</v>
      </c>
    </row>
    <row r="15" spans="1:14">
      <c r="A15" s="463" t="s">
        <v>248</v>
      </c>
      <c r="B15" s="463" t="s">
        <v>249</v>
      </c>
      <c r="C15" s="470" t="str">
        <f>IF(expenses!A9="[Additional Field - Specify]","[Other]",expenses!A9)</f>
        <v>Management &amp; Consultants</v>
      </c>
      <c r="D15" s="466">
        <f t="shared" si="1"/>
        <v>5</v>
      </c>
      <c r="E15" s="467">
        <f>expenses!B9</f>
        <v>0</v>
      </c>
      <c r="F15" s="468" t="e">
        <f t="shared" si="0"/>
        <v>#DIV/0!</v>
      </c>
    </row>
    <row r="16" spans="1:14">
      <c r="A16" s="463" t="s">
        <v>248</v>
      </c>
      <c r="B16" s="463" t="s">
        <v>249</v>
      </c>
      <c r="C16" s="470" t="str">
        <f>IF(expenses!A11="[Additional Field - Specify]","[Other]",expenses!A11)</f>
        <v>Manager or Superintendent Salaries</v>
      </c>
      <c r="D16" s="466">
        <f t="shared" si="1"/>
        <v>6</v>
      </c>
      <c r="E16" s="467">
        <f>expenses!B11</f>
        <v>0</v>
      </c>
      <c r="F16" s="468" t="e">
        <f t="shared" si="0"/>
        <v>#DIV/0!</v>
      </c>
    </row>
    <row r="17" spans="1:16">
      <c r="A17" s="463" t="s">
        <v>248</v>
      </c>
      <c r="B17" s="463" t="s">
        <v>249</v>
      </c>
      <c r="C17" s="470" t="str">
        <f>IF(expenses!A12="[Additional Field - Specify]","[Other]",expenses!A12)</f>
        <v>Marketing</v>
      </c>
      <c r="D17" s="466">
        <f t="shared" si="1"/>
        <v>7</v>
      </c>
      <c r="E17" s="467">
        <f>expenses!B12</f>
        <v>0</v>
      </c>
      <c r="F17" s="468" t="e">
        <f t="shared" si="0"/>
        <v>#DIV/0!</v>
      </c>
      <c r="H17" s="484" t="s">
        <v>254</v>
      </c>
      <c r="I17" s="485">
        <f>SUM(I9:I14)</f>
        <v>0</v>
      </c>
    </row>
    <row r="18" spans="1:16">
      <c r="A18" s="463" t="s">
        <v>248</v>
      </c>
      <c r="B18" s="463" t="s">
        <v>249</v>
      </c>
      <c r="C18" s="470" t="str">
        <f>IF(expenses!A13="[Additional Field - Specify]","[Other]",expenses!A13)</f>
        <v>Misc. Admin Expense (incl TRACS, LIHTC Fees, Training, Telephone, etc)</v>
      </c>
      <c r="D18" s="466">
        <f t="shared" si="1"/>
        <v>8</v>
      </c>
      <c r="E18" s="467">
        <f>expenses!B13</f>
        <v>0</v>
      </c>
      <c r="F18" s="468" t="e">
        <f t="shared" si="0"/>
        <v>#DIV/0!</v>
      </c>
      <c r="H18" s="484" t="s">
        <v>255</v>
      </c>
      <c r="I18" s="467">
        <f>SUMIF(B:B, H18, E:E)</f>
        <v>0</v>
      </c>
    </row>
    <row r="19" spans="1:16">
      <c r="A19" s="463" t="s">
        <v>248</v>
      </c>
      <c r="B19" s="463" t="s">
        <v>249</v>
      </c>
      <c r="C19" s="470" t="str">
        <f>IF(expenses!A14="[Additional Field - Specify]","[Other]",expenses!A14)</f>
        <v>Office Expenses</v>
      </c>
      <c r="D19" s="466">
        <f t="shared" si="1"/>
        <v>9</v>
      </c>
      <c r="E19" s="467">
        <f>expenses!B14</f>
        <v>0</v>
      </c>
      <c r="F19" s="468" t="e">
        <f t="shared" si="0"/>
        <v>#DIV/0!</v>
      </c>
      <c r="H19" s="484" t="s">
        <v>256</v>
      </c>
      <c r="I19" s="485">
        <f>I17+I18</f>
        <v>0</v>
      </c>
    </row>
    <row r="20" spans="1:16">
      <c r="A20" s="463" t="s">
        <v>248</v>
      </c>
      <c r="B20" s="463" t="s">
        <v>249</v>
      </c>
      <c r="C20" s="470" t="str">
        <f>IF(expenses!A15="[Additional Field - Specify]","[Other]",expenses!A15)</f>
        <v>Office Salaries</v>
      </c>
      <c r="D20" s="466">
        <f t="shared" si="1"/>
        <v>10</v>
      </c>
      <c r="E20" s="467">
        <f>expenses!B15</f>
        <v>0</v>
      </c>
      <c r="F20" s="468" t="e">
        <f t="shared" si="0"/>
        <v>#DIV/0!</v>
      </c>
      <c r="H20" s="484" t="s">
        <v>257</v>
      </c>
      <c r="I20" s="467">
        <f>SUM(cashflows!C16:C17)</f>
        <v>0</v>
      </c>
    </row>
    <row r="21" spans="1:16">
      <c r="A21" s="463" t="s">
        <v>248</v>
      </c>
      <c r="B21" s="463" t="s">
        <v>249</v>
      </c>
      <c r="C21" s="470" t="str">
        <f>IF(expenses!A16="[Additional Field - Specify]","[Other]",expenses!A16)</f>
        <v>Tax Credit Monitoring Fee</v>
      </c>
      <c r="D21" s="466">
        <f t="shared" si="1"/>
        <v>11</v>
      </c>
      <c r="E21" s="467">
        <f>expenses!B16</f>
        <v>0</v>
      </c>
      <c r="F21" s="468" t="e">
        <f t="shared" si="0"/>
        <v>#DIV/0!</v>
      </c>
      <c r="H21" s="484" t="s">
        <v>258</v>
      </c>
      <c r="I21" s="486">
        <f>I6-I19</f>
        <v>0</v>
      </c>
    </row>
    <row r="22" spans="1:16">
      <c r="A22" s="463" t="s">
        <v>248</v>
      </c>
      <c r="B22" s="463" t="s">
        <v>249</v>
      </c>
      <c r="C22" s="470" t="str">
        <f>IF(expenses!A17="[Additional Field - Specify]","[Other]",expenses!A17)</f>
        <v>[Other]</v>
      </c>
      <c r="D22" s="466">
        <f t="shared" si="1"/>
        <v>12</v>
      </c>
      <c r="E22" s="467">
        <f>expenses!B17</f>
        <v>0</v>
      </c>
      <c r="F22" s="468" t="e">
        <f t="shared" si="0"/>
        <v>#DIV/0!</v>
      </c>
      <c r="H22" s="484" t="s">
        <v>259</v>
      </c>
      <c r="I22" s="486">
        <f>I21-I20</f>
        <v>0</v>
      </c>
    </row>
    <row r="23" spans="1:16">
      <c r="A23" s="463" t="s">
        <v>248</v>
      </c>
      <c r="B23" s="463" t="s">
        <v>249</v>
      </c>
      <c r="C23" s="470" t="str">
        <f>IF(expenses!A18="[Additional Field - Specify]","[Other]",expenses!A18)</f>
        <v>[Other]</v>
      </c>
      <c r="D23" s="466">
        <f t="shared" si="1"/>
        <v>13</v>
      </c>
      <c r="E23" s="467">
        <f>expenses!B18</f>
        <v>0</v>
      </c>
      <c r="F23" s="468" t="e">
        <f t="shared" si="0"/>
        <v>#DIV/0!</v>
      </c>
      <c r="H23" s="484" t="s">
        <v>260</v>
      </c>
      <c r="I23" s="487" t="str">
        <f>IFERROR(ROUND(I21/I20,2),"")</f>
        <v/>
      </c>
    </row>
    <row r="24" spans="1:16">
      <c r="A24" s="463" t="s">
        <v>248</v>
      </c>
      <c r="B24" s="463" t="s">
        <v>249</v>
      </c>
      <c r="C24" s="470" t="str">
        <f>IF(expenses!A19="[Additional Field - Specify]","[Other]",expenses!A19)</f>
        <v>[Other]</v>
      </c>
      <c r="D24" s="466">
        <f t="shared" si="1"/>
        <v>14</v>
      </c>
      <c r="E24" s="467">
        <f>expenses!B19</f>
        <v>0</v>
      </c>
      <c r="F24" s="468" t="e">
        <f t="shared" si="0"/>
        <v>#DIV/0!</v>
      </c>
      <c r="H24" s="484" t="s">
        <v>261</v>
      </c>
      <c r="I24" s="487" t="str">
        <f>IFERROR(ROUND(I17/I6,2),"")</f>
        <v/>
      </c>
    </row>
    <row r="25" spans="1:16">
      <c r="A25" s="463" t="s">
        <v>248</v>
      </c>
      <c r="B25" s="463" t="s">
        <v>249</v>
      </c>
      <c r="C25" s="470" t="str">
        <f>IF(expenses!A20="[Additional Field - Specify]","[Other]",expenses!A20)</f>
        <v>[Other]</v>
      </c>
      <c r="D25" s="466">
        <f t="shared" si="1"/>
        <v>15</v>
      </c>
      <c r="E25" s="467">
        <f>expenses!B20</f>
        <v>0</v>
      </c>
      <c r="F25" s="468" t="e">
        <f t="shared" si="0"/>
        <v>#DIV/0!</v>
      </c>
      <c r="H25" s="484" t="s">
        <v>262</v>
      </c>
      <c r="I25" s="487" t="str">
        <f>IFERROR(ROUND((I17+I20)/I6,2),"")</f>
        <v/>
      </c>
    </row>
    <row r="26" spans="1:16">
      <c r="A26" s="463" t="s">
        <v>248</v>
      </c>
      <c r="B26" s="463" t="s">
        <v>249</v>
      </c>
      <c r="C26" s="470" t="str">
        <f>IF(expenses!A21="[Additional Field - Specify]","[Other]",expenses!A21)</f>
        <v>[Other]</v>
      </c>
      <c r="D26" s="466">
        <f t="shared" si="1"/>
        <v>16</v>
      </c>
      <c r="E26" s="467">
        <f>expenses!B21</f>
        <v>0</v>
      </c>
      <c r="F26" s="468" t="e">
        <f t="shared" si="0"/>
        <v>#DIV/0!</v>
      </c>
    </row>
    <row r="27" spans="1:16">
      <c r="A27" s="463" t="s">
        <v>248</v>
      </c>
      <c r="B27" s="463" t="s">
        <v>249</v>
      </c>
      <c r="C27" s="470" t="str">
        <f>expenses!A25</f>
        <v>Supportive Services</v>
      </c>
      <c r="D27" s="466">
        <f t="shared" si="1"/>
        <v>17</v>
      </c>
      <c r="E27" s="467">
        <f>expenses!B25</f>
        <v>0</v>
      </c>
      <c r="F27" s="468" t="e">
        <f t="shared" si="0"/>
        <v>#DIV/0!</v>
      </c>
    </row>
    <row r="28" spans="1:16" s="462" customFormat="1">
      <c r="A28" s="463" t="s">
        <v>248</v>
      </c>
      <c r="B28" s="463" t="s">
        <v>249</v>
      </c>
      <c r="C28" s="470" t="str">
        <f>expenses!A71</f>
        <v>Misc. Financial Expenses</v>
      </c>
      <c r="D28" s="466">
        <f t="shared" si="1"/>
        <v>18</v>
      </c>
      <c r="E28" s="467">
        <f>expenses!B71</f>
        <v>0</v>
      </c>
      <c r="F28" s="468" t="e">
        <f t="shared" si="0"/>
        <v>#DIV/0!</v>
      </c>
      <c r="G28" s="461"/>
      <c r="J28" s="460"/>
      <c r="K28" s="460"/>
      <c r="M28" s="460"/>
      <c r="N28" s="460"/>
    </row>
    <row r="29" spans="1:16" s="462" customFormat="1">
      <c r="A29" s="463" t="s">
        <v>248</v>
      </c>
      <c r="B29" s="463" t="s">
        <v>249</v>
      </c>
      <c r="C29" s="470" t="str">
        <f>expenses!A72</f>
        <v>[Additional Field - Specify]</v>
      </c>
      <c r="D29" s="466">
        <f t="shared" si="1"/>
        <v>19</v>
      </c>
      <c r="E29" s="467">
        <f>expenses!B72</f>
        <v>0</v>
      </c>
      <c r="F29" s="468" t="e">
        <f t="shared" ref="F29:F31" si="3">E29/SUM(E:E)</f>
        <v>#DIV/0!</v>
      </c>
      <c r="G29" s="461"/>
      <c r="J29" s="460"/>
      <c r="K29" s="460"/>
      <c r="M29" s="460"/>
      <c r="N29" s="460"/>
    </row>
    <row r="30" spans="1:16" s="462" customFormat="1">
      <c r="A30" s="463" t="s">
        <v>248</v>
      </c>
      <c r="B30" s="463" t="s">
        <v>249</v>
      </c>
      <c r="C30" s="470" t="str">
        <f>expenses!A73</f>
        <v>[Additional Field - Specify]</v>
      </c>
      <c r="D30" s="466">
        <f t="shared" si="1"/>
        <v>20</v>
      </c>
      <c r="E30" s="467">
        <f>expenses!B73</f>
        <v>0</v>
      </c>
      <c r="F30" s="468" t="e">
        <f t="shared" si="3"/>
        <v>#DIV/0!</v>
      </c>
      <c r="G30" s="461"/>
      <c r="J30" s="460"/>
      <c r="K30" s="460"/>
      <c r="M30" s="460"/>
      <c r="N30" s="460"/>
    </row>
    <row r="31" spans="1:16" s="462" customFormat="1">
      <c r="A31" s="463" t="s">
        <v>248</v>
      </c>
      <c r="B31" s="463" t="s">
        <v>249</v>
      </c>
      <c r="C31" s="470" t="str">
        <f>expenses!A74</f>
        <v>[Additional Field - Specify]</v>
      </c>
      <c r="D31" s="466">
        <f t="shared" si="1"/>
        <v>21</v>
      </c>
      <c r="E31" s="467">
        <f>expenses!B74</f>
        <v>0</v>
      </c>
      <c r="F31" s="468" t="e">
        <f t="shared" si="3"/>
        <v>#DIV/0!</v>
      </c>
      <c r="G31" s="461"/>
      <c r="J31" s="460"/>
      <c r="K31" s="460"/>
      <c r="M31" s="460"/>
      <c r="N31" s="460"/>
      <c r="P31" s="471"/>
    </row>
    <row r="32" spans="1:16" s="462" customFormat="1">
      <c r="A32" s="463" t="s">
        <v>248</v>
      </c>
      <c r="B32" s="463" t="s">
        <v>251</v>
      </c>
      <c r="C32" s="464" t="str">
        <f>IF(expenses!A29="[Additional Field - Specify]","[Other]",expenses!A29)</f>
        <v>Electricity</v>
      </c>
      <c r="D32" s="466">
        <f t="shared" si="1"/>
        <v>1</v>
      </c>
      <c r="E32" s="467">
        <f>expenses!B29</f>
        <v>0</v>
      </c>
      <c r="F32" s="468" t="e">
        <f t="shared" ref="F32:F55" si="4">E32/SUM(E:E)</f>
        <v>#DIV/0!</v>
      </c>
      <c r="G32" s="461"/>
      <c r="J32" s="460"/>
      <c r="K32" s="460"/>
      <c r="M32" s="460"/>
      <c r="N32" s="460"/>
      <c r="P32" s="471"/>
    </row>
    <row r="33" spans="1:16" s="462" customFormat="1">
      <c r="A33" s="463" t="s">
        <v>248</v>
      </c>
      <c r="B33" s="463" t="s">
        <v>251</v>
      </c>
      <c r="C33" s="464" t="str">
        <f>IF(expenses!A30="[Additional Field - Specify]","[Other]",expenses!A30)</f>
        <v>Fuel</v>
      </c>
      <c r="D33" s="466">
        <f t="shared" si="1"/>
        <v>2</v>
      </c>
      <c r="E33" s="467">
        <f>expenses!B30</f>
        <v>0</v>
      </c>
      <c r="F33" s="468" t="e">
        <f t="shared" si="4"/>
        <v>#DIV/0!</v>
      </c>
      <c r="G33" s="461"/>
      <c r="J33" s="460"/>
      <c r="K33" s="460"/>
      <c r="M33" s="460"/>
      <c r="N33" s="460"/>
      <c r="P33" s="471"/>
    </row>
    <row r="34" spans="1:16" s="462" customFormat="1">
      <c r="A34" s="463" t="s">
        <v>248</v>
      </c>
      <c r="B34" s="463" t="s">
        <v>251</v>
      </c>
      <c r="C34" s="464" t="str">
        <f>IF(expenses!A31="[Additional Field - Specify]","[Other]",expenses!A31)</f>
        <v>Sewer</v>
      </c>
      <c r="D34" s="466">
        <f t="shared" si="1"/>
        <v>3</v>
      </c>
      <c r="E34" s="467">
        <f>expenses!B31</f>
        <v>0</v>
      </c>
      <c r="F34" s="468" t="e">
        <f t="shared" si="4"/>
        <v>#DIV/0!</v>
      </c>
      <c r="G34" s="461"/>
      <c r="J34" s="460"/>
      <c r="K34" s="460"/>
      <c r="M34" s="460"/>
      <c r="N34" s="460"/>
      <c r="P34" s="471"/>
    </row>
    <row r="35" spans="1:16" s="462" customFormat="1">
      <c r="A35" s="463" t="s">
        <v>248</v>
      </c>
      <c r="B35" s="463" t="s">
        <v>251</v>
      </c>
      <c r="C35" s="464" t="str">
        <f>IF(expenses!A32="[Additional Field - Specify]","[Other]",expenses!A32)</f>
        <v>Water</v>
      </c>
      <c r="D35" s="466">
        <f t="shared" si="1"/>
        <v>4</v>
      </c>
      <c r="E35" s="467">
        <f>expenses!B32</f>
        <v>0</v>
      </c>
      <c r="F35" s="468" t="e">
        <f t="shared" si="4"/>
        <v>#DIV/0!</v>
      </c>
      <c r="G35" s="461"/>
      <c r="J35" s="460"/>
      <c r="K35" s="460"/>
      <c r="M35" s="460"/>
      <c r="N35" s="460"/>
      <c r="P35" s="471"/>
    </row>
    <row r="36" spans="1:16" s="462" customFormat="1">
      <c r="A36" s="463" t="s">
        <v>248</v>
      </c>
      <c r="B36" s="463" t="s">
        <v>251</v>
      </c>
      <c r="C36" s="464" t="str">
        <f>IF(expenses!A33="[Additional Field - Specify]","[Other]",expenses!A33)</f>
        <v>Water &amp; Sewer Combined (if applicable)</v>
      </c>
      <c r="D36" s="466">
        <f t="shared" si="1"/>
        <v>5</v>
      </c>
      <c r="E36" s="467">
        <f>expenses!B33</f>
        <v>0</v>
      </c>
      <c r="F36" s="468" t="e">
        <f t="shared" si="4"/>
        <v>#DIV/0!</v>
      </c>
      <c r="G36" s="461"/>
      <c r="J36" s="460"/>
      <c r="K36" s="460"/>
      <c r="M36" s="460"/>
      <c r="N36" s="460"/>
      <c r="O36" s="471"/>
    </row>
    <row r="37" spans="1:16" s="462" customFormat="1">
      <c r="A37" s="463" t="s">
        <v>248</v>
      </c>
      <c r="B37" s="463" t="s">
        <v>251</v>
      </c>
      <c r="C37" s="464" t="str">
        <f>IF(expenses!A34="[Additional Field - Specify]","[Other]",expenses!A34)</f>
        <v>[Other]</v>
      </c>
      <c r="D37" s="466">
        <f t="shared" si="1"/>
        <v>6</v>
      </c>
      <c r="E37" s="467">
        <f>expenses!B34</f>
        <v>0</v>
      </c>
      <c r="F37" s="468" t="e">
        <f t="shared" si="4"/>
        <v>#DIV/0!</v>
      </c>
      <c r="G37" s="461"/>
      <c r="J37" s="460"/>
      <c r="K37" s="460"/>
      <c r="M37" s="460"/>
      <c r="N37" s="460"/>
    </row>
    <row r="38" spans="1:16" s="462" customFormat="1">
      <c r="A38" s="463" t="s">
        <v>248</v>
      </c>
      <c r="B38" s="463" t="s">
        <v>251</v>
      </c>
      <c r="C38" s="464" t="str">
        <f>IF(expenses!A35="[Additional Field - Specify]","[Other]",expenses!A35)</f>
        <v>[Other]</v>
      </c>
      <c r="D38" s="466">
        <f t="shared" si="1"/>
        <v>7</v>
      </c>
      <c r="E38" s="467">
        <f>expenses!B35</f>
        <v>0</v>
      </c>
      <c r="F38" s="468" t="e">
        <f t="shared" si="4"/>
        <v>#DIV/0!</v>
      </c>
      <c r="G38" s="461"/>
      <c r="J38" s="460"/>
      <c r="K38" s="460"/>
      <c r="M38" s="460"/>
      <c r="N38" s="460"/>
    </row>
    <row r="39" spans="1:16" s="462" customFormat="1">
      <c r="A39" s="463" t="s">
        <v>248</v>
      </c>
      <c r="B39" s="463" t="s">
        <v>251</v>
      </c>
      <c r="C39" s="464" t="str">
        <f>IF(expenses!A36="[Additional Field - Specify]","[Other]",expenses!A36)</f>
        <v>[Other]</v>
      </c>
      <c r="D39" s="466">
        <f t="shared" si="1"/>
        <v>8</v>
      </c>
      <c r="E39" s="467">
        <f>expenses!B36</f>
        <v>0</v>
      </c>
      <c r="F39" s="468" t="e">
        <f t="shared" si="4"/>
        <v>#DIV/0!</v>
      </c>
      <c r="G39" s="461"/>
      <c r="J39" s="460"/>
      <c r="K39" s="460"/>
      <c r="M39" s="460"/>
      <c r="N39" s="460"/>
    </row>
    <row r="40" spans="1:16" s="462" customFormat="1">
      <c r="A40" s="463" t="s">
        <v>248</v>
      </c>
      <c r="B40" s="463" t="s">
        <v>251</v>
      </c>
      <c r="C40" s="464" t="str">
        <f>IF(expenses!A37="[Additional Field - Specify]","[Other]",expenses!A37)</f>
        <v>[Other]</v>
      </c>
      <c r="D40" s="466">
        <f t="shared" si="1"/>
        <v>9</v>
      </c>
      <c r="E40" s="467">
        <f>expenses!B37</f>
        <v>0</v>
      </c>
      <c r="F40" s="468" t="e">
        <f t="shared" si="4"/>
        <v>#DIV/0!</v>
      </c>
      <c r="G40" s="461"/>
      <c r="J40" s="460"/>
      <c r="K40" s="460"/>
      <c r="M40" s="460"/>
      <c r="N40" s="460"/>
    </row>
    <row r="41" spans="1:16" s="462" customFormat="1">
      <c r="A41" s="463" t="s">
        <v>248</v>
      </c>
      <c r="B41" s="463" t="s">
        <v>250</v>
      </c>
      <c r="C41" s="464" t="str">
        <f>IF(expenses!A41="[Additional Field - Specify]","[Other]",expenses!A41)</f>
        <v>Contracts (Grounds, Exterminating, Repairs, Elevator)</v>
      </c>
      <c r="D41" s="466">
        <f t="shared" si="1"/>
        <v>1</v>
      </c>
      <c r="E41" s="467">
        <f>expenses!B41</f>
        <v>0</v>
      </c>
      <c r="F41" s="468" t="e">
        <f t="shared" si="4"/>
        <v>#DIV/0!</v>
      </c>
      <c r="G41" s="461"/>
      <c r="H41" s="460"/>
      <c r="I41" s="460"/>
      <c r="J41" s="460"/>
      <c r="K41" s="460"/>
      <c r="M41" s="460"/>
      <c r="N41" s="460"/>
    </row>
    <row r="42" spans="1:16" s="462" customFormat="1">
      <c r="A42" s="463" t="s">
        <v>248</v>
      </c>
      <c r="B42" s="463" t="s">
        <v>250</v>
      </c>
      <c r="C42" s="464" t="str">
        <f>IF(expenses!A42="[Additional Field - Specify]","[Other]",expenses!A42)</f>
        <v>HVAC Repairs / Maintenance</v>
      </c>
      <c r="D42" s="466">
        <f t="shared" si="1"/>
        <v>2</v>
      </c>
      <c r="E42" s="467">
        <f>expenses!B42</f>
        <v>0</v>
      </c>
      <c r="F42" s="468" t="e">
        <f t="shared" si="4"/>
        <v>#DIV/0!</v>
      </c>
      <c r="G42" s="461"/>
      <c r="H42" s="460"/>
      <c r="I42" s="460"/>
      <c r="J42" s="460"/>
      <c r="K42" s="460"/>
      <c r="M42" s="460"/>
      <c r="N42" s="460"/>
    </row>
    <row r="43" spans="1:16" s="462" customFormat="1">
      <c r="A43" s="463" t="s">
        <v>248</v>
      </c>
      <c r="B43" s="463" t="s">
        <v>250</v>
      </c>
      <c r="C43" s="464" t="str">
        <f>IF(expenses!A43="[Additional Field - Specify]","[Other]",expenses!A43)</f>
        <v>Misc Operating &amp; Maintenance Expense (incl Fire Alarm)</v>
      </c>
      <c r="D43" s="466">
        <f t="shared" si="1"/>
        <v>3</v>
      </c>
      <c r="E43" s="467">
        <f>expenses!B43</f>
        <v>0</v>
      </c>
      <c r="F43" s="468" t="e">
        <f t="shared" si="4"/>
        <v>#DIV/0!</v>
      </c>
      <c r="G43" s="461"/>
      <c r="H43" s="460"/>
      <c r="I43" s="460"/>
      <c r="J43" s="460"/>
      <c r="K43" s="460"/>
      <c r="M43" s="460"/>
      <c r="N43" s="460"/>
    </row>
    <row r="44" spans="1:16" s="462" customFormat="1">
      <c r="A44" s="463" t="s">
        <v>248</v>
      </c>
      <c r="B44" s="463" t="s">
        <v>250</v>
      </c>
      <c r="C44" s="464" t="str">
        <f>IF(expenses!A44="[Additional Field - Specify]","[Other]",expenses!A44)</f>
        <v>Payroll (Maintenance, Grounds, Repair)</v>
      </c>
      <c r="D44" s="466">
        <f t="shared" si="1"/>
        <v>4</v>
      </c>
      <c r="E44" s="467">
        <f>expenses!B44</f>
        <v>0</v>
      </c>
      <c r="F44" s="468" t="e">
        <f t="shared" si="4"/>
        <v>#DIV/0!</v>
      </c>
      <c r="G44" s="461"/>
      <c r="H44" s="460"/>
      <c r="I44" s="460"/>
      <c r="J44" s="460"/>
      <c r="K44" s="460"/>
      <c r="M44" s="460"/>
      <c r="N44" s="460"/>
    </row>
    <row r="45" spans="1:16" s="462" customFormat="1">
      <c r="A45" s="463" t="s">
        <v>248</v>
      </c>
      <c r="B45" s="463" t="s">
        <v>250</v>
      </c>
      <c r="C45" s="464" t="str">
        <f>IF(expenses!A45="[Additional Field - Specify]","[Other]",expenses!A45)</f>
        <v>Snow Removal</v>
      </c>
      <c r="D45" s="466">
        <f t="shared" si="1"/>
        <v>5</v>
      </c>
      <c r="E45" s="467">
        <f>expenses!B45</f>
        <v>0</v>
      </c>
      <c r="F45" s="468" t="e">
        <f t="shared" si="4"/>
        <v>#DIV/0!</v>
      </c>
      <c r="G45" s="461"/>
      <c r="H45" s="460"/>
      <c r="I45" s="460"/>
      <c r="J45" s="460"/>
      <c r="K45" s="460"/>
      <c r="M45" s="460"/>
      <c r="N45" s="460"/>
    </row>
    <row r="46" spans="1:16" s="462" customFormat="1">
      <c r="A46" s="463" t="s">
        <v>248</v>
      </c>
      <c r="B46" s="463" t="s">
        <v>250</v>
      </c>
      <c r="C46" s="464" t="str">
        <f>IF(expenses!A46="[Additional Field - Specify]","[Other]",expenses!A46)</f>
        <v>Supplies (Janitor, Repairs, Paint)</v>
      </c>
      <c r="D46" s="466">
        <f t="shared" si="1"/>
        <v>6</v>
      </c>
      <c r="E46" s="467">
        <f>expenses!B46</f>
        <v>0</v>
      </c>
      <c r="F46" s="468" t="e">
        <f t="shared" si="4"/>
        <v>#DIV/0!</v>
      </c>
      <c r="G46" s="461"/>
      <c r="H46" s="460"/>
      <c r="I46" s="460"/>
      <c r="J46" s="460"/>
      <c r="K46" s="460"/>
      <c r="M46" s="460"/>
      <c r="N46" s="460"/>
    </row>
    <row r="47" spans="1:16" s="462" customFormat="1">
      <c r="A47" s="463" t="s">
        <v>248</v>
      </c>
      <c r="B47" s="463" t="s">
        <v>250</v>
      </c>
      <c r="C47" s="464" t="str">
        <f>IF(expenses!A47="[Additional Field - Specify]","[Other]",expenses!A47)</f>
        <v>Trash Removal</v>
      </c>
      <c r="D47" s="466">
        <f t="shared" si="1"/>
        <v>7</v>
      </c>
      <c r="E47" s="467">
        <f>expenses!B47</f>
        <v>0</v>
      </c>
      <c r="F47" s="468" t="e">
        <f t="shared" si="4"/>
        <v>#DIV/0!</v>
      </c>
      <c r="G47" s="461"/>
      <c r="H47" s="460"/>
      <c r="I47" s="460"/>
      <c r="J47" s="460"/>
      <c r="K47" s="460"/>
      <c r="M47" s="460"/>
      <c r="N47" s="460"/>
    </row>
    <row r="48" spans="1:16" s="462" customFormat="1">
      <c r="A48" s="463" t="s">
        <v>248</v>
      </c>
      <c r="B48" s="463" t="s">
        <v>250</v>
      </c>
      <c r="C48" s="464" t="str">
        <f>IF(expenses!A48="[Additional Field - Specify]","[Other]",expenses!A48)</f>
        <v>Vehicle &amp; Maintenance Equip. Operation &amp; Repair</v>
      </c>
      <c r="D48" s="466">
        <f t="shared" si="1"/>
        <v>8</v>
      </c>
      <c r="E48" s="467">
        <f>expenses!B48</f>
        <v>0</v>
      </c>
      <c r="F48" s="468" t="e">
        <f t="shared" si="4"/>
        <v>#DIV/0!</v>
      </c>
      <c r="G48" s="461"/>
      <c r="H48" s="460"/>
      <c r="I48" s="460"/>
      <c r="J48" s="460"/>
      <c r="K48" s="460"/>
      <c r="M48" s="460"/>
      <c r="N48" s="460"/>
    </row>
    <row r="49" spans="1:14">
      <c r="A49" s="463" t="s">
        <v>248</v>
      </c>
      <c r="B49" s="463" t="s">
        <v>250</v>
      </c>
      <c r="C49" s="464" t="str">
        <f>IF(expenses!A49="[Additional Field - Specify]","[Other]",expenses!A49)</f>
        <v>[Other]</v>
      </c>
      <c r="D49" s="466">
        <f>IF(B48=B49, D48+1, 1)</f>
        <v>9</v>
      </c>
      <c r="E49" s="467">
        <f>expenses!B49</f>
        <v>0</v>
      </c>
      <c r="F49" s="468" t="e">
        <f t="shared" si="4"/>
        <v>#DIV/0!</v>
      </c>
      <c r="J49" s="460" t="s">
        <v>263</v>
      </c>
      <c r="K49" s="460" t="s">
        <v>264</v>
      </c>
    </row>
    <row r="50" spans="1:14">
      <c r="A50" s="463" t="s">
        <v>248</v>
      </c>
      <c r="B50" s="463" t="s">
        <v>250</v>
      </c>
      <c r="C50" s="464" t="str">
        <f>IF(expenses!A50="[Additional Field - Specify]","[Other]",expenses!A50)</f>
        <v>[Other]</v>
      </c>
      <c r="D50" s="466">
        <f>IF(B49=B50, D49+1, 1)</f>
        <v>10</v>
      </c>
      <c r="E50" s="467">
        <f>expenses!B50</f>
        <v>0</v>
      </c>
      <c r="F50" s="468" t="e">
        <f t="shared" si="4"/>
        <v>#DIV/0!</v>
      </c>
      <c r="J50" s="460" t="s">
        <v>265</v>
      </c>
      <c r="K50" s="460" t="s">
        <v>264</v>
      </c>
    </row>
    <row r="51" spans="1:14">
      <c r="A51" s="463" t="s">
        <v>248</v>
      </c>
      <c r="B51" s="463" t="s">
        <v>250</v>
      </c>
      <c r="C51" s="464" t="str">
        <f>IF(expenses!A51="[Additional Field - Specify]","[Other]",expenses!A51)</f>
        <v>[Other]</v>
      </c>
      <c r="D51" s="466">
        <f>IF(B50=B51, D50+1, 1)</f>
        <v>11</v>
      </c>
      <c r="E51" s="467">
        <f>expenses!B51</f>
        <v>0</v>
      </c>
      <c r="F51" s="468" t="e">
        <f t="shared" si="4"/>
        <v>#DIV/0!</v>
      </c>
    </row>
    <row r="52" spans="1:14" s="462" customFormat="1">
      <c r="A52" s="463" t="s">
        <v>248</v>
      </c>
      <c r="B52" s="463" t="s">
        <v>250</v>
      </c>
      <c r="C52" s="464" t="str">
        <f>IF(expenses!A52="[Additional Field - Specify]","[Other]",expenses!A52)</f>
        <v>[Other]</v>
      </c>
      <c r="D52" s="466">
        <f t="shared" ref="D52:D61" si="5">IF(B51=B52, D51+1, 1)</f>
        <v>12</v>
      </c>
      <c r="E52" s="467">
        <f>expenses!B52</f>
        <v>0</v>
      </c>
      <c r="F52" s="468" t="e">
        <f t="shared" si="4"/>
        <v>#DIV/0!</v>
      </c>
      <c r="G52" s="461"/>
      <c r="H52" s="460"/>
      <c r="I52" s="460"/>
      <c r="J52" s="460"/>
      <c r="K52" s="460"/>
      <c r="M52" s="460"/>
      <c r="N52" s="460"/>
    </row>
    <row r="53" spans="1:14" s="462" customFormat="1">
      <c r="A53" s="463" t="s">
        <v>248</v>
      </c>
      <c r="B53" s="463" t="s">
        <v>250</v>
      </c>
      <c r="C53" s="464" t="str">
        <f>IF(expenses!A53="[Additional Field - Specify]","[Other]",expenses!A53)</f>
        <v>[Other]</v>
      </c>
      <c r="D53" s="466">
        <f t="shared" si="5"/>
        <v>13</v>
      </c>
      <c r="E53" s="467">
        <f>expenses!B53</f>
        <v>0</v>
      </c>
      <c r="F53" s="468" t="e">
        <f t="shared" si="4"/>
        <v>#DIV/0!</v>
      </c>
      <c r="G53" s="461"/>
      <c r="H53" s="472"/>
      <c r="I53" s="460"/>
      <c r="J53" s="460"/>
      <c r="K53" s="460"/>
      <c r="M53" s="460"/>
      <c r="N53" s="460"/>
    </row>
    <row r="54" spans="1:14">
      <c r="A54" s="463" t="s">
        <v>248</v>
      </c>
      <c r="B54" s="463" t="s">
        <v>252</v>
      </c>
      <c r="C54" s="466" t="str">
        <f>IF(expenses!A58="[Additional Field - Specify]","[Other]",expenses!A58)</f>
        <v>Misc. Taxes, Permits, Licenses, Insurance</v>
      </c>
      <c r="D54" s="466">
        <f t="shared" si="5"/>
        <v>1</v>
      </c>
      <c r="E54" s="467">
        <f>expenses!B58</f>
        <v>0</v>
      </c>
      <c r="F54" s="468" t="e">
        <f t="shared" si="4"/>
        <v>#DIV/0!</v>
      </c>
    </row>
    <row r="55" spans="1:14">
      <c r="A55" s="463" t="s">
        <v>248</v>
      </c>
      <c r="B55" s="463" t="s">
        <v>252</v>
      </c>
      <c r="C55" s="466" t="str">
        <f>IF(expenses!A59="[Additional Field - Specify]","[Other]",expenses!A59)</f>
        <v>Payroll Taxes</v>
      </c>
      <c r="D55" s="466">
        <f t="shared" si="5"/>
        <v>2</v>
      </c>
      <c r="E55" s="467">
        <f>expenses!B59</f>
        <v>0</v>
      </c>
      <c r="F55" s="468" t="e">
        <f t="shared" si="4"/>
        <v>#DIV/0!</v>
      </c>
    </row>
    <row r="56" spans="1:14">
      <c r="A56" s="463" t="s">
        <v>248</v>
      </c>
      <c r="B56" s="463" t="s">
        <v>252</v>
      </c>
      <c r="C56" s="466" t="str">
        <f>IF(expenses!A61="[Additional Field - Specify]","[Other]",expenses!A61)</f>
        <v>Real Estate Taxes</v>
      </c>
      <c r="D56" s="466">
        <f t="shared" si="5"/>
        <v>3</v>
      </c>
      <c r="E56" s="467">
        <f>expenses!B61</f>
        <v>0</v>
      </c>
      <c r="F56" s="468" t="e">
        <f>E61/SUM(E:E)</f>
        <v>#DIV/0!</v>
      </c>
    </row>
    <row r="57" spans="1:14">
      <c r="A57" s="463" t="s">
        <v>248</v>
      </c>
      <c r="B57" s="463" t="s">
        <v>252</v>
      </c>
      <c r="C57" s="466" t="str">
        <f>IF(expenses!A62="[Additional Field - Specify]","[Other]",expenses!A62)</f>
        <v>Workman's Compensation</v>
      </c>
      <c r="D57" s="466">
        <f t="shared" si="5"/>
        <v>4</v>
      </c>
      <c r="E57" s="467">
        <f>expenses!B62</f>
        <v>0</v>
      </c>
      <c r="F57" s="468" t="e">
        <f t="shared" ref="F57:F62" si="6">E56/SUM(E:E)</f>
        <v>#DIV/0!</v>
      </c>
    </row>
    <row r="58" spans="1:14">
      <c r="A58" s="463" t="s">
        <v>248</v>
      </c>
      <c r="B58" s="463" t="s">
        <v>252</v>
      </c>
      <c r="C58" s="466" t="str">
        <f>IF(expenses!A63="[Additional Field - Specify]","[Other]",expenses!A63)</f>
        <v>[Other]</v>
      </c>
      <c r="D58" s="466">
        <f t="shared" si="5"/>
        <v>5</v>
      </c>
      <c r="E58" s="467">
        <f>expenses!B63</f>
        <v>0</v>
      </c>
      <c r="F58" s="468" t="e">
        <f t="shared" si="6"/>
        <v>#DIV/0!</v>
      </c>
    </row>
    <row r="59" spans="1:14">
      <c r="A59" s="463" t="s">
        <v>248</v>
      </c>
      <c r="B59" s="463" t="s">
        <v>252</v>
      </c>
      <c r="C59" s="466" t="str">
        <f>IF(expenses!A64="[Additional Field - Specify]","[Other]",expenses!A64)</f>
        <v>[Other]</v>
      </c>
      <c r="D59" s="466">
        <f t="shared" si="5"/>
        <v>6</v>
      </c>
      <c r="E59" s="467">
        <f>expenses!B64</f>
        <v>0</v>
      </c>
      <c r="F59" s="468" t="e">
        <f t="shared" si="6"/>
        <v>#DIV/0!</v>
      </c>
    </row>
    <row r="60" spans="1:14">
      <c r="A60" s="463" t="s">
        <v>248</v>
      </c>
      <c r="B60" s="463" t="s">
        <v>252</v>
      </c>
      <c r="C60" s="466" t="str">
        <f>IF(expenses!A65="[Additional Field - Specify]","[Other]",expenses!A65)</f>
        <v>[Other]</v>
      </c>
      <c r="D60" s="466">
        <f t="shared" si="5"/>
        <v>7</v>
      </c>
      <c r="E60" s="467">
        <f>expenses!B65</f>
        <v>0</v>
      </c>
      <c r="F60" s="468" t="e">
        <f t="shared" si="6"/>
        <v>#DIV/0!</v>
      </c>
    </row>
    <row r="61" spans="1:14">
      <c r="A61" s="463" t="s">
        <v>248</v>
      </c>
      <c r="B61" s="463" t="s">
        <v>253</v>
      </c>
      <c r="C61" s="466" t="str">
        <f>IF(expenses!A60="[Additional Field - Specify]","[Other]",expenses!A60)</f>
        <v>Property Insurance</v>
      </c>
      <c r="D61" s="466">
        <f t="shared" si="5"/>
        <v>1</v>
      </c>
      <c r="E61" s="467">
        <f>expenses!B60</f>
        <v>0</v>
      </c>
      <c r="F61" s="468" t="e">
        <f t="shared" si="6"/>
        <v>#DIV/0!</v>
      </c>
    </row>
    <row r="62" spans="1:14">
      <c r="A62" s="463" t="s">
        <v>248</v>
      </c>
      <c r="B62" s="463" t="s">
        <v>253</v>
      </c>
      <c r="C62" s="466" t="str">
        <f>IF(expenses!A57="[Additional Field - Specify]","[Other]",expenses!A57)</f>
        <v>Health Insurance &amp; Other Benefits</v>
      </c>
      <c r="D62" s="466">
        <f t="shared" ref="D62:D63" si="7">IF(B61=B62, D61+1, 1)</f>
        <v>2</v>
      </c>
      <c r="E62" s="467">
        <f>expenses!B57</f>
        <v>0</v>
      </c>
      <c r="F62" s="468" t="e">
        <f t="shared" si="6"/>
        <v>#DIV/0!</v>
      </c>
    </row>
    <row r="63" spans="1:14">
      <c r="A63" s="463" t="s">
        <v>248</v>
      </c>
      <c r="B63" s="463" t="s">
        <v>255</v>
      </c>
      <c r="C63" s="463" t="s">
        <v>255</v>
      </c>
      <c r="D63" s="466">
        <f t="shared" si="7"/>
        <v>1</v>
      </c>
      <c r="E63" s="467">
        <f>expenses!B77</f>
        <v>0</v>
      </c>
      <c r="F63" s="468" t="e">
        <f>E63/SUM(E:E)</f>
        <v>#DIV/0!</v>
      </c>
    </row>
  </sheetData>
  <pageMargins left="0.69930555555555596" right="0.69930555555555596"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0"/>
  <sheetViews>
    <sheetView zoomScaleNormal="100" workbookViewId="0"/>
  </sheetViews>
  <sheetFormatPr defaultColWidth="8.75" defaultRowHeight="15.6"/>
  <cols>
    <col min="1" max="1" width="70.58203125" style="580" customWidth="1"/>
    <col min="2" max="16384" width="8.75" style="576"/>
  </cols>
  <sheetData>
    <row r="1" spans="1:1">
      <c r="A1" s="575"/>
    </row>
    <row r="2" spans="1:1">
      <c r="A2" s="577" t="s">
        <v>266</v>
      </c>
    </row>
    <row r="3" spans="1:1" ht="62.4">
      <c r="A3" s="578" t="s">
        <v>267</v>
      </c>
    </row>
    <row r="4" spans="1:1">
      <c r="A4" s="578"/>
    </row>
    <row r="5" spans="1:1">
      <c r="A5" s="577" t="s">
        <v>268</v>
      </c>
    </row>
    <row r="6" spans="1:1" ht="46.8">
      <c r="A6" s="578" t="s">
        <v>269</v>
      </c>
    </row>
    <row r="7" spans="1:1">
      <c r="A7" s="578"/>
    </row>
    <row r="8" spans="1:1" ht="31.2">
      <c r="A8" s="578" t="s">
        <v>270</v>
      </c>
    </row>
    <row r="9" spans="1:1">
      <c r="A9" s="578"/>
    </row>
    <row r="10" spans="1:1">
      <c r="A10" s="577" t="s">
        <v>271</v>
      </c>
    </row>
    <row r="11" spans="1:1" ht="46.8">
      <c r="A11" s="578" t="s">
        <v>272</v>
      </c>
    </row>
    <row r="12" spans="1:1">
      <c r="A12" s="578"/>
    </row>
    <row r="13" spans="1:1">
      <c r="A13" s="577" t="s">
        <v>273</v>
      </c>
    </row>
    <row r="14" spans="1:1" ht="62.4">
      <c r="A14" s="578" t="s">
        <v>274</v>
      </c>
    </row>
    <row r="15" spans="1:1">
      <c r="A15" s="578"/>
    </row>
    <row r="16" spans="1:1">
      <c r="A16" s="577" t="s">
        <v>275</v>
      </c>
    </row>
    <row r="17" spans="1:1" ht="46.8">
      <c r="A17" s="578" t="s">
        <v>276</v>
      </c>
    </row>
    <row r="18" spans="1:1">
      <c r="A18" s="578"/>
    </row>
    <row r="19" spans="1:1">
      <c r="A19" s="577" t="s">
        <v>277</v>
      </c>
    </row>
    <row r="20" spans="1:1" ht="62.4">
      <c r="A20" s="578" t="s">
        <v>278</v>
      </c>
    </row>
    <row r="21" spans="1:1">
      <c r="A21" s="578"/>
    </row>
    <row r="22" spans="1:1">
      <c r="A22" s="577" t="s">
        <v>279</v>
      </c>
    </row>
    <row r="23" spans="1:1" ht="46.8">
      <c r="A23" s="578" t="s">
        <v>280</v>
      </c>
    </row>
    <row r="24" spans="1:1">
      <c r="A24" s="578"/>
    </row>
    <row r="25" spans="1:1" ht="46.8">
      <c r="A25" s="578" t="s">
        <v>281</v>
      </c>
    </row>
    <row r="26" spans="1:1">
      <c r="A26" s="575"/>
    </row>
    <row r="27" spans="1:1">
      <c r="A27" s="577" t="s">
        <v>282</v>
      </c>
    </row>
    <row r="28" spans="1:1" ht="46.8">
      <c r="A28" s="578" t="s">
        <v>283</v>
      </c>
    </row>
    <row r="29" spans="1:1">
      <c r="A29" s="579"/>
    </row>
    <row r="30" spans="1:1">
      <c r="A30" s="575"/>
    </row>
    <row r="31" spans="1:1">
      <c r="A31" s="575"/>
    </row>
    <row r="32" spans="1:1">
      <c r="A32" s="579"/>
    </row>
    <row r="33" spans="1:1">
      <c r="A33" s="575"/>
    </row>
    <row r="34" spans="1:1">
      <c r="A34" s="575"/>
    </row>
    <row r="35" spans="1:1">
      <c r="A35" s="575"/>
    </row>
    <row r="36" spans="1:1">
      <c r="A36" s="579"/>
    </row>
    <row r="37" spans="1:1">
      <c r="A37" s="575"/>
    </row>
    <row r="38" spans="1:1">
      <c r="A38" s="575"/>
    </row>
    <row r="39" spans="1:1">
      <c r="A39" s="575"/>
    </row>
    <row r="40" spans="1:1">
      <c r="A40" s="575"/>
    </row>
    <row r="41" spans="1:1">
      <c r="A41" s="575"/>
    </row>
    <row r="42" spans="1:1">
      <c r="A42" s="579"/>
    </row>
    <row r="43" spans="1:1">
      <c r="A43" s="575"/>
    </row>
    <row r="44" spans="1:1">
      <c r="A44" s="575"/>
    </row>
    <row r="45" spans="1:1">
      <c r="A45" s="575"/>
    </row>
    <row r="46" spans="1:1">
      <c r="A46" s="579"/>
    </row>
    <row r="47" spans="1:1">
      <c r="A47" s="575"/>
    </row>
    <row r="48" spans="1:1">
      <c r="A48" s="575"/>
    </row>
    <row r="49" spans="1:1">
      <c r="A49" s="575"/>
    </row>
    <row r="50" spans="1:1">
      <c r="A50" s="575"/>
    </row>
  </sheetData>
  <sheetProtection algorithmName="SHA-512" hashValue="TIUk8+N92lOnfUJidAj2xVkmtc2Ky0EC1kaCKC03ZpLyDFq6WpHqkVwVxlWsyjxhPtlNEt+q+oNuuz9NY1qx7w==" saltValue="QgytKuuWx8m48NmFRNyq+w==" spinCount="100000" sheet="1" objects="1" scenarios="1" formatColumns="0" formatRows="0"/>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85"/>
  <sheetViews>
    <sheetView tabSelected="1" zoomScaleNormal="100" workbookViewId="0"/>
  </sheetViews>
  <sheetFormatPr defaultColWidth="8.75" defaultRowHeight="15" outlineLevelRow="1"/>
  <cols>
    <col min="1" max="1" width="34.75" style="607" customWidth="1"/>
    <col min="2" max="2" width="17.4140625" style="607" customWidth="1"/>
    <col min="3" max="3" width="26" style="607" bestFit="1" customWidth="1"/>
    <col min="4" max="4" width="12" style="607" customWidth="1"/>
    <col min="5" max="5" width="17.1640625" style="607" customWidth="1"/>
    <col min="6" max="6" width="13.75" style="607" customWidth="1"/>
    <col min="7" max="7" width="23.25" style="607" customWidth="1"/>
    <col min="8" max="8" width="16.25" style="607" customWidth="1"/>
    <col min="9" max="16384" width="8.75" style="607"/>
  </cols>
  <sheetData>
    <row r="1" spans="1:8" ht="16.2" thickBot="1">
      <c r="A1" s="602" t="s">
        <v>284</v>
      </c>
      <c r="B1" s="73" t="s">
        <v>285</v>
      </c>
      <c r="C1" s="603"/>
      <c r="D1" s="603"/>
      <c r="E1" s="604"/>
      <c r="F1" s="605"/>
      <c r="G1" s="605"/>
      <c r="H1" s="606" t="s">
        <v>286</v>
      </c>
    </row>
    <row r="2" spans="1:8" ht="16.2" thickTop="1">
      <c r="A2" s="608" t="s">
        <v>287</v>
      </c>
      <c r="B2" s="43" t="s">
        <v>288</v>
      </c>
      <c r="C2" s="608"/>
      <c r="D2" s="608"/>
      <c r="E2" s="608"/>
    </row>
    <row r="3" spans="1:8" ht="15" customHeight="1">
      <c r="A3" s="608" t="s">
        <v>289</v>
      </c>
      <c r="B3" s="95"/>
      <c r="C3" s="608"/>
      <c r="D3" s="608"/>
      <c r="E3" s="609"/>
      <c r="F3" s="610" t="s">
        <v>290</v>
      </c>
    </row>
    <row r="4" spans="1:8" s="614" customFormat="1">
      <c r="A4" s="611" t="s">
        <v>291</v>
      </c>
      <c r="B4" s="612">
        <f>rents!B101</f>
        <v>0</v>
      </c>
      <c r="C4" s="613" t="s">
        <v>292</v>
      </c>
      <c r="D4" s="613"/>
      <c r="E4" s="192">
        <v>0.01</v>
      </c>
      <c r="F4" s="318"/>
    </row>
    <row r="5" spans="1:8">
      <c r="A5" s="615" t="s">
        <v>293</v>
      </c>
      <c r="B5" s="612">
        <f>rents!G101</f>
        <v>0</v>
      </c>
      <c r="C5" s="613" t="s">
        <v>294</v>
      </c>
      <c r="D5" s="613"/>
      <c r="E5" s="192">
        <v>0.01</v>
      </c>
      <c r="F5" s="54"/>
    </row>
    <row r="6" spans="1:8">
      <c r="A6" s="615" t="s">
        <v>295</v>
      </c>
      <c r="B6" s="616" t="str">
        <f>IF(B5=0,"N/A",D85)</f>
        <v>N/A</v>
      </c>
      <c r="C6" s="617" t="s">
        <v>296</v>
      </c>
      <c r="D6" s="617"/>
      <c r="E6" s="192">
        <v>0.01</v>
      </c>
      <c r="F6" s="54"/>
    </row>
    <row r="7" spans="1:8">
      <c r="A7" s="615" t="s">
        <v>297</v>
      </c>
      <c r="B7" s="44"/>
      <c r="E7" s="618"/>
      <c r="F7" s="619"/>
    </row>
    <row r="8" spans="1:8">
      <c r="A8" s="615" t="s">
        <v>298</v>
      </c>
      <c r="B8" s="612">
        <f>'sources-uses'!C93</f>
        <v>0</v>
      </c>
      <c r="C8" s="613" t="s">
        <v>299</v>
      </c>
      <c r="D8" s="613"/>
      <c r="E8" s="192">
        <v>2.5000000000000001E-2</v>
      </c>
      <c r="F8" s="54"/>
    </row>
    <row r="9" spans="1:8">
      <c r="A9" s="615" t="s">
        <v>300</v>
      </c>
      <c r="B9" s="620" t="str">
        <f>IF(B8=0,"TBD",'sources-uses'!D93/assumptions!B4)</f>
        <v>TBD</v>
      </c>
      <c r="C9" s="613" t="s">
        <v>301</v>
      </c>
      <c r="D9" s="613"/>
      <c r="E9" s="192">
        <v>0.05</v>
      </c>
      <c r="F9" s="54"/>
    </row>
    <row r="10" spans="1:8">
      <c r="A10" s="615" t="s">
        <v>302</v>
      </c>
      <c r="B10" s="620" t="str">
        <f>IF(B15=0,"N/A",B15/B4)</f>
        <v>N/A</v>
      </c>
      <c r="C10" s="613" t="s">
        <v>303</v>
      </c>
      <c r="D10" s="613"/>
      <c r="E10" s="621">
        <v>0.21</v>
      </c>
      <c r="F10" s="619"/>
      <c r="H10" s="622"/>
    </row>
    <row r="11" spans="1:8">
      <c r="A11" s="615" t="s">
        <v>304</v>
      </c>
      <c r="B11" s="620" t="str">
        <f>IF(B15=0,"N/A",B15/B5)</f>
        <v>N/A</v>
      </c>
      <c r="C11" s="613" t="s">
        <v>305</v>
      </c>
      <c r="D11" s="613"/>
      <c r="E11" s="191">
        <v>27.5</v>
      </c>
      <c r="F11" s="607" t="s">
        <v>306</v>
      </c>
    </row>
    <row r="12" spans="1:8">
      <c r="A12" s="607" t="s">
        <v>307</v>
      </c>
      <c r="B12" s="620" t="str">
        <f>IF(B8=0,"TBD",'sources-uses'!G93)</f>
        <v>TBD</v>
      </c>
      <c r="C12" s="617" t="s">
        <v>308</v>
      </c>
      <c r="D12" s="617"/>
      <c r="E12" s="45">
        <v>15</v>
      </c>
      <c r="F12" s="607" t="s">
        <v>306</v>
      </c>
    </row>
    <row r="13" spans="1:8">
      <c r="A13" s="615" t="s">
        <v>309</v>
      </c>
      <c r="B13" s="94" t="s">
        <v>310</v>
      </c>
      <c r="C13" s="617" t="s">
        <v>311</v>
      </c>
      <c r="D13" s="617"/>
      <c r="E13" s="45">
        <v>5</v>
      </c>
      <c r="F13" s="607" t="s">
        <v>306</v>
      </c>
    </row>
    <row r="14" spans="1:8">
      <c r="A14" s="615" t="s">
        <v>312</v>
      </c>
      <c r="B14" s="620" t="str" cm="1">
        <f t="array" ref="B14">_xlfn.IFS(B8=0,"N/A",B15=0,"N/A",B15&gt;0,'credit calcs'!D104+'credit calcs'!E104)</f>
        <v>N/A</v>
      </c>
      <c r="C14" s="613" t="s">
        <v>313</v>
      </c>
      <c r="D14" s="613"/>
      <c r="E14" s="119" t="str">
        <f>IF(B15=0,"N/A",'credit calcs'!C109)</f>
        <v>N/A</v>
      </c>
    </row>
    <row r="15" spans="1:8">
      <c r="A15" s="615" t="s">
        <v>314</v>
      </c>
      <c r="B15" s="45">
        <v>0</v>
      </c>
      <c r="C15" s="623"/>
    </row>
    <row r="16" spans="1:8">
      <c r="A16" s="615" t="s">
        <v>315</v>
      </c>
      <c r="B16" s="196">
        <v>7.4999999999999997E-2</v>
      </c>
      <c r="C16" s="623"/>
    </row>
    <row r="17" spans="1:8">
      <c r="A17" s="615" t="s">
        <v>316</v>
      </c>
      <c r="B17" s="54">
        <v>0</v>
      </c>
      <c r="C17" s="623"/>
    </row>
    <row r="18" spans="1:8" ht="15.6" thickBot="1">
      <c r="A18" s="46" t="s">
        <v>317</v>
      </c>
      <c r="B18" s="624">
        <f>IF(A18="LIHTC - 9%",0.09,IF(A18="LIHTC - 4%",0.04,"N/A"))</f>
        <v>0.09</v>
      </c>
      <c r="C18" s="623"/>
    </row>
    <row r="19" spans="1:8" ht="16.2" thickTop="1">
      <c r="A19" s="625" t="s">
        <v>318</v>
      </c>
      <c r="B19" s="626"/>
      <c r="C19" s="626"/>
      <c r="D19" s="626"/>
      <c r="E19" s="626"/>
      <c r="F19" s="627"/>
    </row>
    <row r="20" spans="1:8" ht="66">
      <c r="A20" s="628" t="s">
        <v>319</v>
      </c>
      <c r="B20" s="608"/>
      <c r="C20" s="629" t="s">
        <v>320</v>
      </c>
      <c r="D20" s="629" t="s">
        <v>88</v>
      </c>
      <c r="E20" s="629" t="s">
        <v>321</v>
      </c>
      <c r="F20" s="629" t="s">
        <v>322</v>
      </c>
      <c r="G20" s="630" t="s">
        <v>323</v>
      </c>
      <c r="H20" s="631" t="s">
        <v>324</v>
      </c>
    </row>
    <row r="21" spans="1:8" outlineLevel="1">
      <c r="A21" s="615" t="s">
        <v>325</v>
      </c>
      <c r="B21" s="53">
        <v>0</v>
      </c>
      <c r="C21" s="632" t="str">
        <f>IF(B21=0,"N/A",B21/'sources-uses'!$C$93)</f>
        <v>N/A</v>
      </c>
      <c r="D21" s="47">
        <v>0</v>
      </c>
      <c r="E21" s="45">
        <v>0</v>
      </c>
      <c r="F21" s="45">
        <v>0</v>
      </c>
      <c r="G21" s="48"/>
      <c r="H21" s="49"/>
    </row>
    <row r="22" spans="1:8" outlineLevel="1">
      <c r="A22" s="615" t="s">
        <v>326</v>
      </c>
      <c r="B22" s="53">
        <v>0</v>
      </c>
      <c r="C22" s="632" t="str">
        <f>IF(B22=0,"N/A",B22/'sources-uses'!$C$93)</f>
        <v>N/A</v>
      </c>
      <c r="D22" s="47">
        <v>0</v>
      </c>
      <c r="E22" s="45">
        <v>0</v>
      </c>
      <c r="F22" s="45">
        <v>0</v>
      </c>
      <c r="G22" s="48"/>
      <c r="H22" s="49"/>
    </row>
    <row r="23" spans="1:8" outlineLevel="1">
      <c r="A23" s="615" t="s">
        <v>327</v>
      </c>
      <c r="B23" s="52">
        <v>0</v>
      </c>
      <c r="C23" s="632" t="str">
        <f>IF(B23=0,"N/A",B23/'sources-uses'!$C$93)</f>
        <v>N/A</v>
      </c>
      <c r="D23" s="47">
        <v>0</v>
      </c>
      <c r="E23" s="45">
        <v>0</v>
      </c>
      <c r="F23" s="45">
        <v>0</v>
      </c>
      <c r="G23" s="48"/>
      <c r="H23" s="49"/>
    </row>
    <row r="24" spans="1:8" outlineLevel="1">
      <c r="A24" s="615" t="s">
        <v>328</v>
      </c>
      <c r="B24" s="53">
        <v>0</v>
      </c>
      <c r="C24" s="632" t="str">
        <f>IF(B24=0,"N/A",B24/'sources-uses'!$C$93)</f>
        <v>N/A</v>
      </c>
      <c r="D24" s="47">
        <v>0</v>
      </c>
      <c r="E24" s="45">
        <v>0</v>
      </c>
      <c r="F24" s="45">
        <v>0</v>
      </c>
      <c r="G24" s="48"/>
      <c r="H24" s="49"/>
    </row>
    <row r="25" spans="1:8">
      <c r="A25" s="46" t="s">
        <v>329</v>
      </c>
      <c r="B25" s="53">
        <v>0</v>
      </c>
      <c r="C25" s="632" t="str">
        <f>IF(B25=0,"N/A",B25/'sources-uses'!$C$93)</f>
        <v>N/A</v>
      </c>
      <c r="D25" s="47">
        <v>0</v>
      </c>
      <c r="E25" s="45">
        <v>0</v>
      </c>
      <c r="F25" s="45">
        <v>0</v>
      </c>
      <c r="G25" s="48"/>
      <c r="H25" s="49"/>
    </row>
    <row r="26" spans="1:8" ht="15.6" outlineLevel="1">
      <c r="A26" s="789" t="s">
        <v>330</v>
      </c>
      <c r="B26" s="53">
        <v>0</v>
      </c>
      <c r="C26" s="632" t="str">
        <f>IF(B26=0,"N/A",B26/'sources-uses'!$C$93)</f>
        <v>N/A</v>
      </c>
      <c r="D26" s="47">
        <v>0</v>
      </c>
      <c r="E26" s="45">
        <v>0</v>
      </c>
      <c r="F26" s="45">
        <v>0</v>
      </c>
      <c r="G26" s="48"/>
      <c r="H26" s="49"/>
    </row>
    <row r="27" spans="1:8" ht="15.6" outlineLevel="1">
      <c r="A27" s="789" t="s">
        <v>330</v>
      </c>
      <c r="B27" s="53">
        <v>0</v>
      </c>
      <c r="C27" s="632" t="str">
        <f>IF(B27=0,"N/A",B27/'sources-uses'!$C$93)</f>
        <v>N/A</v>
      </c>
      <c r="D27" s="47">
        <v>0</v>
      </c>
      <c r="E27" s="45">
        <v>0</v>
      </c>
      <c r="F27" s="45">
        <v>0</v>
      </c>
      <c r="G27" s="48"/>
      <c r="H27" s="49"/>
    </row>
    <row r="28" spans="1:8" ht="15.6" outlineLevel="1">
      <c r="A28" s="789" t="s">
        <v>330</v>
      </c>
      <c r="B28" s="53">
        <v>0</v>
      </c>
      <c r="C28" s="632" t="str">
        <f>IF(B28=0,"N/A",B28/'sources-uses'!$C$93)</f>
        <v>N/A</v>
      </c>
      <c r="D28" s="47">
        <v>0</v>
      </c>
      <c r="E28" s="45">
        <v>0</v>
      </c>
      <c r="F28" s="45">
        <v>0</v>
      </c>
      <c r="G28" s="48"/>
      <c r="H28" s="49"/>
    </row>
    <row r="29" spans="1:8">
      <c r="A29" s="615" t="s">
        <v>331</v>
      </c>
      <c r="B29" s="53">
        <v>0</v>
      </c>
      <c r="C29" s="632" t="str">
        <f>IF(B29=0,"N/A",B29/'sources-uses'!$C$93)</f>
        <v>N/A</v>
      </c>
      <c r="D29" s="47">
        <v>0</v>
      </c>
      <c r="E29" s="45">
        <v>0</v>
      </c>
      <c r="F29" s="45">
        <v>0</v>
      </c>
      <c r="G29" s="48"/>
      <c r="H29" s="49"/>
    </row>
    <row r="30" spans="1:8">
      <c r="A30" s="615" t="s">
        <v>332</v>
      </c>
      <c r="B30" s="53">
        <v>0</v>
      </c>
      <c r="C30" s="632" t="str">
        <f>IF(B30=0,"N/A",B30/'sources-uses'!$C$93)</f>
        <v>N/A</v>
      </c>
      <c r="D30" s="47">
        <v>0</v>
      </c>
      <c r="E30" s="45">
        <v>0</v>
      </c>
      <c r="F30" s="50">
        <v>0</v>
      </c>
      <c r="G30" s="48"/>
      <c r="H30" s="49"/>
    </row>
    <row r="31" spans="1:8">
      <c r="A31" s="615" t="s">
        <v>333</v>
      </c>
      <c r="B31" s="53">
        <v>0</v>
      </c>
      <c r="C31" s="632" t="str">
        <f>IF(B31=0,"N/A",B31/'sources-uses'!$C$93)</f>
        <v>N/A</v>
      </c>
      <c r="D31" s="47">
        <v>0</v>
      </c>
      <c r="E31" s="45">
        <v>0</v>
      </c>
      <c r="F31" s="50" t="s">
        <v>334</v>
      </c>
      <c r="G31" s="48"/>
      <c r="H31" s="49"/>
    </row>
    <row r="32" spans="1:8">
      <c r="A32" s="615" t="s">
        <v>335</v>
      </c>
      <c r="B32" s="53">
        <v>0</v>
      </c>
      <c r="C32" s="632" t="str">
        <f>IF(B32=0,"N/A",B32/'sources-uses'!$C$93)</f>
        <v>N/A</v>
      </c>
      <c r="D32" s="47">
        <v>0</v>
      </c>
      <c r="E32" s="45">
        <v>0</v>
      </c>
      <c r="F32" s="50" t="s">
        <v>334</v>
      </c>
      <c r="G32" s="48"/>
      <c r="H32" s="49"/>
    </row>
    <row r="33" spans="1:8">
      <c r="A33" s="615" t="s">
        <v>336</v>
      </c>
      <c r="B33" s="53">
        <v>0</v>
      </c>
      <c r="C33" s="632" t="str">
        <f>IF(B33=0,"N/A",B33/'sources-uses'!$C$93)</f>
        <v>N/A</v>
      </c>
      <c r="D33" s="47">
        <v>0</v>
      </c>
      <c r="E33" s="45">
        <v>0</v>
      </c>
      <c r="F33" s="50" t="s">
        <v>334</v>
      </c>
      <c r="G33" s="48"/>
      <c r="H33" s="49"/>
    </row>
    <row r="34" spans="1:8">
      <c r="A34" s="615" t="s">
        <v>337</v>
      </c>
      <c r="B34" s="53">
        <v>0</v>
      </c>
      <c r="C34" s="632" t="str">
        <f>IF(B34=0,"N/A",B34/'sources-uses'!$C$93)</f>
        <v>N/A</v>
      </c>
      <c r="D34" s="51">
        <v>0</v>
      </c>
      <c r="E34" s="45">
        <v>0</v>
      </c>
      <c r="F34" s="50" t="s">
        <v>334</v>
      </c>
      <c r="G34" s="48"/>
      <c r="H34" s="49"/>
    </row>
    <row r="35" spans="1:8">
      <c r="A35" s="615" t="s">
        <v>338</v>
      </c>
      <c r="B35" s="53">
        <v>0</v>
      </c>
      <c r="C35" s="632" t="str">
        <f>IF(B35=0,"N/A",B35/'sources-uses'!$C$93)</f>
        <v>N/A</v>
      </c>
      <c r="D35" s="47">
        <v>0</v>
      </c>
      <c r="E35" s="45">
        <v>0</v>
      </c>
      <c r="F35" s="50" t="s">
        <v>334</v>
      </c>
      <c r="G35" s="48"/>
      <c r="H35" s="49"/>
    </row>
    <row r="36" spans="1:8">
      <c r="A36" s="607" t="s">
        <v>339</v>
      </c>
      <c r="B36" s="53">
        <v>0</v>
      </c>
      <c r="C36" s="632" t="str">
        <f>IF(B36=0,"N/A",B36/'sources-uses'!$C$93)</f>
        <v>N/A</v>
      </c>
      <c r="D36" s="47">
        <v>0</v>
      </c>
      <c r="E36" s="45">
        <v>0</v>
      </c>
      <c r="F36" s="50">
        <v>0</v>
      </c>
      <c r="G36" s="48"/>
      <c r="H36" s="49"/>
    </row>
    <row r="37" spans="1:8" ht="15.6" outlineLevel="1">
      <c r="A37" s="789" t="s">
        <v>340</v>
      </c>
      <c r="B37" s="53">
        <v>0</v>
      </c>
      <c r="C37" s="632" t="str">
        <f>IF(B37=0,"N/A",B37/'sources-uses'!$C$93)</f>
        <v>N/A</v>
      </c>
      <c r="D37" s="47">
        <v>0</v>
      </c>
      <c r="E37" s="45">
        <v>0</v>
      </c>
      <c r="F37" s="50">
        <v>0</v>
      </c>
      <c r="G37" s="48"/>
      <c r="H37" s="49"/>
    </row>
    <row r="38" spans="1:8" ht="15.6" outlineLevel="1">
      <c r="A38" s="789" t="s">
        <v>340</v>
      </c>
      <c r="B38" s="53">
        <v>0</v>
      </c>
      <c r="C38" s="632" t="str">
        <f>IF(B38=0,"N/A",B38/'sources-uses'!$C$93)</f>
        <v>N/A</v>
      </c>
      <c r="D38" s="47">
        <v>0</v>
      </c>
      <c r="E38" s="45">
        <v>0</v>
      </c>
      <c r="F38" s="50">
        <v>0</v>
      </c>
      <c r="G38" s="48"/>
      <c r="H38" s="49"/>
    </row>
    <row r="39" spans="1:8" ht="15.6" outlineLevel="1">
      <c r="A39" s="789" t="s">
        <v>340</v>
      </c>
      <c r="B39" s="53">
        <v>0</v>
      </c>
      <c r="C39" s="632" t="str">
        <f>IF(B39=0,"N/A",B39/'sources-uses'!$C$93)</f>
        <v>N/A</v>
      </c>
      <c r="D39" s="47">
        <v>0</v>
      </c>
      <c r="E39" s="45">
        <v>0</v>
      </c>
      <c r="F39" s="50">
        <v>0</v>
      </c>
      <c r="G39" s="48"/>
      <c r="H39" s="49"/>
    </row>
    <row r="40" spans="1:8" ht="15.6" outlineLevel="1">
      <c r="A40" s="789" t="s">
        <v>340</v>
      </c>
      <c r="B40" s="53">
        <v>0</v>
      </c>
      <c r="C40" s="632" t="str">
        <f>IF(B40=0,"N/A",B40/'sources-uses'!$C$93)</f>
        <v>N/A</v>
      </c>
      <c r="D40" s="47">
        <v>0</v>
      </c>
      <c r="E40" s="45">
        <v>0</v>
      </c>
      <c r="F40" s="50">
        <v>0</v>
      </c>
      <c r="G40" s="48"/>
      <c r="H40" s="49"/>
    </row>
    <row r="41" spans="1:8" ht="15.6" outlineLevel="1">
      <c r="A41" s="789" t="s">
        <v>340</v>
      </c>
      <c r="B41" s="53">
        <v>0</v>
      </c>
      <c r="C41" s="632" t="str">
        <f>IF(B41=0,"N/A",B41/'sources-uses'!$C$93)</f>
        <v>N/A</v>
      </c>
      <c r="D41" s="47">
        <v>0</v>
      </c>
      <c r="E41" s="45">
        <v>0</v>
      </c>
      <c r="F41" s="50">
        <v>0</v>
      </c>
      <c r="G41" s="48"/>
      <c r="H41" s="49"/>
    </row>
    <row r="42" spans="1:8" ht="15.6" outlineLevel="1">
      <c r="A42" s="789" t="s">
        <v>340</v>
      </c>
      <c r="B42" s="53">
        <v>0</v>
      </c>
      <c r="C42" s="632" t="str">
        <f>IF(B42=0,"N/A",B42/'sources-uses'!$C$93)</f>
        <v>N/A</v>
      </c>
      <c r="D42" s="47">
        <v>0</v>
      </c>
      <c r="E42" s="45">
        <v>0</v>
      </c>
      <c r="F42" s="50">
        <v>0</v>
      </c>
      <c r="G42" s="48"/>
      <c r="H42" s="49"/>
    </row>
    <row r="43" spans="1:8" ht="15.6" outlineLevel="1">
      <c r="A43" s="789" t="s">
        <v>340</v>
      </c>
      <c r="B43" s="53">
        <v>0</v>
      </c>
      <c r="C43" s="632" t="str">
        <f>IF(B43=0,"N/A",B43/'sources-uses'!$C$93)</f>
        <v>N/A</v>
      </c>
      <c r="D43" s="47">
        <v>0</v>
      </c>
      <c r="E43" s="45">
        <v>0</v>
      </c>
      <c r="F43" s="50">
        <v>0</v>
      </c>
      <c r="G43" s="48"/>
      <c r="H43" s="49"/>
    </row>
    <row r="44" spans="1:8" ht="15.6" outlineLevel="1">
      <c r="A44" s="789" t="s">
        <v>340</v>
      </c>
      <c r="B44" s="53">
        <v>0</v>
      </c>
      <c r="C44" s="632" t="str">
        <f>IF(B44=0,"N/A",B44/'sources-uses'!$C$93)</f>
        <v>N/A</v>
      </c>
      <c r="D44" s="47">
        <v>0</v>
      </c>
      <c r="E44" s="45">
        <v>0</v>
      </c>
      <c r="F44" s="50">
        <v>0</v>
      </c>
      <c r="G44" s="48"/>
      <c r="H44" s="49"/>
    </row>
    <row r="45" spans="1:8" ht="15.6" outlineLevel="1">
      <c r="A45" s="789" t="s">
        <v>340</v>
      </c>
      <c r="B45" s="53">
        <v>0</v>
      </c>
      <c r="C45" s="632" t="str">
        <f>IF(B45=0,"N/A",B45/'sources-uses'!$C$93)</f>
        <v>N/A</v>
      </c>
      <c r="D45" s="47">
        <v>0</v>
      </c>
      <c r="E45" s="45">
        <v>0</v>
      </c>
      <c r="F45" s="50">
        <v>0</v>
      </c>
      <c r="G45" s="48"/>
      <c r="H45" s="49"/>
    </row>
    <row r="46" spans="1:8" ht="15.6" outlineLevel="1">
      <c r="A46" s="789" t="s">
        <v>340</v>
      </c>
      <c r="B46" s="53">
        <v>0</v>
      </c>
      <c r="C46" s="632" t="str">
        <f>IF(B46=0,"N/A",B46/'sources-uses'!$C$93)</f>
        <v>N/A</v>
      </c>
      <c r="D46" s="47">
        <v>0</v>
      </c>
      <c r="E46" s="45">
        <v>0</v>
      </c>
      <c r="F46" s="50">
        <v>0</v>
      </c>
      <c r="G46" s="48"/>
      <c r="H46" s="49"/>
    </row>
    <row r="47" spans="1:8">
      <c r="A47" s="607" t="s">
        <v>341</v>
      </c>
      <c r="B47" s="53">
        <v>0</v>
      </c>
      <c r="C47" s="632" t="str">
        <f>IF(B47=0,"N/A",B47/'sources-uses'!$C$93)</f>
        <v>N/A</v>
      </c>
      <c r="D47" s="619"/>
      <c r="F47" s="629"/>
      <c r="G47" s="48"/>
      <c r="H47" s="49"/>
    </row>
    <row r="48" spans="1:8">
      <c r="A48" s="615" t="s">
        <v>342</v>
      </c>
      <c r="B48" s="53">
        <v>0</v>
      </c>
      <c r="C48" s="632" t="str">
        <f>IF(B48=0,"N/A",B48/'sources-uses'!$C$93)</f>
        <v>N/A</v>
      </c>
      <c r="D48" s="619"/>
      <c r="F48" s="629"/>
      <c r="G48" s="48"/>
      <c r="H48" s="49"/>
    </row>
    <row r="49" spans="1:10">
      <c r="A49" s="615" t="s">
        <v>343</v>
      </c>
      <c r="B49" s="53">
        <v>0</v>
      </c>
      <c r="C49" s="632" t="str">
        <f>IF(B49=0,"N/A",B49/'sources-uses'!$C$93)</f>
        <v>N/A</v>
      </c>
      <c r="D49" s="619"/>
      <c r="F49" s="629"/>
      <c r="G49" s="48"/>
      <c r="H49" s="49"/>
    </row>
    <row r="50" spans="1:10">
      <c r="A50" s="607" t="s">
        <v>344</v>
      </c>
      <c r="B50" s="53">
        <v>0</v>
      </c>
      <c r="C50" s="632" t="str">
        <f>IF(B50=0,"N/A",B50/'sources-uses'!$C$93)</f>
        <v>N/A</v>
      </c>
      <c r="D50" s="619"/>
      <c r="G50" s="48"/>
      <c r="H50" s="49"/>
    </row>
    <row r="51" spans="1:10">
      <c r="A51" s="607" t="s">
        <v>345</v>
      </c>
      <c r="B51" s="53">
        <v>0</v>
      </c>
      <c r="C51" s="632" t="str">
        <f>IF(B51=0,"N/A",B51/'sources-uses'!$C$93)</f>
        <v>N/A</v>
      </c>
      <c r="D51" s="619"/>
      <c r="F51" s="629"/>
      <c r="G51" s="48"/>
      <c r="H51" s="49"/>
    </row>
    <row r="52" spans="1:10">
      <c r="A52" s="615" t="s">
        <v>346</v>
      </c>
      <c r="B52" s="53">
        <v>0</v>
      </c>
      <c r="C52" s="632" t="str">
        <f>IF(B52=0,"N/A",B52/'sources-uses'!$C$93)</f>
        <v>N/A</v>
      </c>
      <c r="D52" s="619"/>
      <c r="F52" s="629"/>
      <c r="G52" s="48"/>
      <c r="H52" s="49"/>
    </row>
    <row r="53" spans="1:10" ht="15.6" outlineLevel="1">
      <c r="A53" s="789" t="s">
        <v>347</v>
      </c>
      <c r="B53" s="53">
        <v>0</v>
      </c>
      <c r="C53" s="632" t="str">
        <f>IF(B53=0,"N/A",B53/'sources-uses'!$C$93)</f>
        <v>N/A</v>
      </c>
      <c r="D53" s="619"/>
      <c r="F53" s="629"/>
      <c r="G53" s="48"/>
      <c r="H53" s="49"/>
    </row>
    <row r="54" spans="1:10" ht="15.6" outlineLevel="1">
      <c r="A54" s="789" t="s">
        <v>347</v>
      </c>
      <c r="B54" s="53">
        <v>0</v>
      </c>
      <c r="C54" s="632" t="str">
        <f>IF(B54=0,"N/A",B54/'sources-uses'!$C$93)</f>
        <v>N/A</v>
      </c>
      <c r="D54" s="619"/>
      <c r="F54" s="629"/>
      <c r="G54" s="48"/>
      <c r="H54" s="49"/>
    </row>
    <row r="55" spans="1:10" ht="15.6" outlineLevel="1">
      <c r="A55" s="789" t="s">
        <v>347</v>
      </c>
      <c r="B55" s="53">
        <v>0</v>
      </c>
      <c r="C55" s="632" t="str">
        <f>IF(B55=0,"N/A",B55/'sources-uses'!$C$93)</f>
        <v>N/A</v>
      </c>
      <c r="D55" s="619"/>
      <c r="F55" s="629"/>
      <c r="G55" s="48"/>
      <c r="H55" s="49"/>
    </row>
    <row r="56" spans="1:10" ht="15.6" outlineLevel="1">
      <c r="A56" s="789" t="s">
        <v>347</v>
      </c>
      <c r="B56" s="53">
        <v>0</v>
      </c>
      <c r="C56" s="632" t="str">
        <f>IF(B56=0,"N/A",B56/'sources-uses'!$C$93)</f>
        <v>N/A</v>
      </c>
      <c r="D56" s="619"/>
      <c r="F56" s="629"/>
      <c r="G56" s="48"/>
      <c r="H56" s="49"/>
    </row>
    <row r="57" spans="1:10" ht="15.6" outlineLevel="1">
      <c r="A57" s="789" t="s">
        <v>347</v>
      </c>
      <c r="B57" s="53">
        <v>0</v>
      </c>
      <c r="C57" s="632" t="str">
        <f>IF(B57=0,"N/A",B57/'sources-uses'!$C$93)</f>
        <v>N/A</v>
      </c>
      <c r="D57" s="619"/>
      <c r="F57" s="629"/>
      <c r="G57" s="48"/>
      <c r="H57" s="49"/>
    </row>
    <row r="58" spans="1:10">
      <c r="A58" s="633" t="s">
        <v>348</v>
      </c>
      <c r="B58" s="634">
        <f>SUM(B21:B57)</f>
        <v>0</v>
      </c>
      <c r="C58" s="635">
        <f>SUM(C21:C57)</f>
        <v>0</v>
      </c>
      <c r="D58" s="636"/>
      <c r="E58" s="636"/>
      <c r="F58" s="636"/>
      <c r="G58" s="636"/>
      <c r="H58" s="636"/>
    </row>
    <row r="59" spans="1:10">
      <c r="B59" s="608"/>
      <c r="C59" s="619"/>
    </row>
    <row r="60" spans="1:10" ht="15.6">
      <c r="A60" s="637" t="s">
        <v>349</v>
      </c>
      <c r="B60" s="608"/>
      <c r="C60" s="619"/>
    </row>
    <row r="61" spans="1:10">
      <c r="A61" s="607" t="s">
        <v>350</v>
      </c>
      <c r="B61" s="116">
        <f>'sources-uses'!C13</f>
        <v>0</v>
      </c>
      <c r="C61" s="632" t="str">
        <f>IF(B61=0,"N/A",B61/$B$64)</f>
        <v>N/A</v>
      </c>
      <c r="G61" s="620" t="s">
        <v>351</v>
      </c>
      <c r="H61" s="638" t="str">
        <f>cashflows!C24</f>
        <v>TBD</v>
      </c>
    </row>
    <row r="62" spans="1:10">
      <c r="A62" s="607" t="s">
        <v>352</v>
      </c>
      <c r="B62" s="116">
        <f>'sources-uses'!C33</f>
        <v>0</v>
      </c>
      <c r="C62" s="632" t="str">
        <f t="shared" ref="C62:C63" si="0">IF(B62=0,"N/A",B62/$B$64)</f>
        <v>N/A</v>
      </c>
      <c r="G62" s="620" t="s">
        <v>353</v>
      </c>
      <c r="H62" s="638" t="str">
        <f>cashflows!C22</f>
        <v>N/A</v>
      </c>
    </row>
    <row r="63" spans="1:10">
      <c r="A63" s="639" t="s">
        <v>140</v>
      </c>
      <c r="B63" s="116">
        <f>'sources-uses'!C92</f>
        <v>0</v>
      </c>
      <c r="C63" s="632" t="str">
        <f t="shared" si="0"/>
        <v>N/A</v>
      </c>
      <c r="G63" s="640" t="s">
        <v>354</v>
      </c>
      <c r="H63" s="641" t="str">
        <f>_xlfn.XLOOKUP(1,cashflows!C22:AF22,cashflows!C2:AF2,"N/A",-1)</f>
        <v>N/A</v>
      </c>
      <c r="J63" s="642"/>
    </row>
    <row r="64" spans="1:10">
      <c r="A64" s="643" t="s">
        <v>355</v>
      </c>
      <c r="B64" s="117">
        <f>'sources-uses'!C93</f>
        <v>0</v>
      </c>
      <c r="C64" s="115">
        <f>SUM(C61:C63)</f>
        <v>0</v>
      </c>
    </row>
    <row r="65" spans="1:8">
      <c r="A65" s="643"/>
    </row>
    <row r="66" spans="1:8" ht="15.6" thickBot="1">
      <c r="A66" s="629" t="s">
        <v>356</v>
      </c>
      <c r="B66" s="118">
        <f>B58-B64</f>
        <v>0</v>
      </c>
    </row>
    <row r="67" spans="1:8" ht="16.2" thickTop="1">
      <c r="A67" s="625" t="s">
        <v>357</v>
      </c>
      <c r="B67" s="118"/>
    </row>
    <row r="68" spans="1:8">
      <c r="A68" s="629" t="s">
        <v>358</v>
      </c>
      <c r="B68" s="53">
        <v>0</v>
      </c>
      <c r="C68" s="632" t="str">
        <f>IF(B68&gt;0,B68/$B$64,"N/A")</f>
        <v>N/A</v>
      </c>
      <c r="D68" s="54">
        <v>0</v>
      </c>
      <c r="E68" s="45">
        <v>0</v>
      </c>
      <c r="F68" s="607" t="s">
        <v>359</v>
      </c>
    </row>
    <row r="69" spans="1:8">
      <c r="A69" s="629" t="s">
        <v>360</v>
      </c>
      <c r="B69" s="53">
        <v>0</v>
      </c>
      <c r="C69" s="632" t="str">
        <f>IF(B69&gt;0,B69/$B$64,"N/A")</f>
        <v>N/A</v>
      </c>
      <c r="D69" s="54">
        <v>0</v>
      </c>
      <c r="E69" s="45">
        <v>0</v>
      </c>
      <c r="F69" s="607" t="s">
        <v>359</v>
      </c>
    </row>
    <row r="70" spans="1:8">
      <c r="A70" s="50" t="s">
        <v>361</v>
      </c>
      <c r="B70" s="53">
        <v>0</v>
      </c>
      <c r="C70" s="632" t="s">
        <v>362</v>
      </c>
      <c r="D70" s="54">
        <v>0</v>
      </c>
      <c r="E70" s="45">
        <v>0</v>
      </c>
      <c r="F70" s="607" t="s">
        <v>359</v>
      </c>
    </row>
    <row r="71" spans="1:8" ht="15.6" thickBot="1">
      <c r="A71" s="629" t="s">
        <v>363</v>
      </c>
      <c r="B71" s="53">
        <v>0</v>
      </c>
      <c r="C71" s="632" t="str">
        <f>IF(B71&gt;0,B71/$B$64,"N/A")</f>
        <v>N/A</v>
      </c>
      <c r="D71" s="54">
        <v>0</v>
      </c>
      <c r="E71" s="45">
        <v>0</v>
      </c>
      <c r="F71" s="607" t="s">
        <v>359</v>
      </c>
      <c r="G71" s="604"/>
      <c r="H71" s="604"/>
    </row>
    <row r="72" spans="1:8" ht="15.6" thickTop="1">
      <c r="A72" s="627"/>
      <c r="B72" s="627"/>
      <c r="C72" s="627"/>
      <c r="D72" s="627"/>
      <c r="E72" s="627"/>
      <c r="F72" s="627"/>
    </row>
    <row r="73" spans="1:8">
      <c r="A73" s="615" t="s">
        <v>364</v>
      </c>
      <c r="D73" s="643" t="str">
        <f>IF($B$15=0,"N/A",$B$15*10*E73*$E$14)</f>
        <v>N/A</v>
      </c>
      <c r="E73" s="54">
        <v>1E-4</v>
      </c>
    </row>
    <row r="74" spans="1:8">
      <c r="A74" s="615" t="s">
        <v>365</v>
      </c>
      <c r="D74" s="643" t="str">
        <f>IF($B$15=0,"N/A",$B$15*10*E74*$E$14)</f>
        <v>N/A</v>
      </c>
      <c r="E74" s="54">
        <v>0.99990000000000001</v>
      </c>
    </row>
    <row r="75" spans="1:8" ht="15.6" thickBot="1">
      <c r="A75" s="644" t="s">
        <v>366</v>
      </c>
      <c r="B75" s="604"/>
      <c r="C75" s="604"/>
      <c r="D75" s="645" t="str">
        <f>IF(B15=0,"N/A",D73+D74)</f>
        <v>N/A</v>
      </c>
      <c r="E75" s="646">
        <f>E73+E74</f>
        <v>1</v>
      </c>
      <c r="F75" s="604"/>
      <c r="G75" s="604"/>
      <c r="H75" s="604"/>
    </row>
    <row r="76" spans="1:8" ht="15.6" thickTop="1">
      <c r="A76" s="607" t="s">
        <v>367</v>
      </c>
    </row>
    <row r="77" spans="1:8">
      <c r="C77" s="647" t="s">
        <v>368</v>
      </c>
      <c r="D77" s="647">
        <f>rents!G101</f>
        <v>0</v>
      </c>
    </row>
    <row r="78" spans="1:8">
      <c r="C78" s="647" t="s">
        <v>369</v>
      </c>
      <c r="D78" s="612">
        <f>rents!B101</f>
        <v>0</v>
      </c>
    </row>
    <row r="79" spans="1:8">
      <c r="C79" s="647" t="s">
        <v>370</v>
      </c>
      <c r="D79" s="91" t="str">
        <f>IF(D77=0,"N/A",D77/D78)</f>
        <v>N/A</v>
      </c>
    </row>
    <row r="80" spans="1:8">
      <c r="C80" s="647"/>
      <c r="D80" s="612"/>
    </row>
    <row r="81" spans="3:4">
      <c r="C81" s="647" t="s">
        <v>371</v>
      </c>
      <c r="D81" s="612">
        <f>rents!AM101</f>
        <v>0</v>
      </c>
    </row>
    <row r="82" spans="3:4">
      <c r="C82" s="647" t="str">
        <f>rents!Q101</f>
        <v>Net Residential Unit Sq. Footage</v>
      </c>
      <c r="D82" s="612">
        <f>rents!R101</f>
        <v>0</v>
      </c>
    </row>
    <row r="83" spans="3:4">
      <c r="C83" s="647" t="s">
        <v>372</v>
      </c>
      <c r="D83" s="91" t="str">
        <f>IF(D81=0,"N/A",D81/D82)</f>
        <v>N/A</v>
      </c>
    </row>
    <row r="84" spans="3:4">
      <c r="C84" s="612"/>
      <c r="D84" s="612"/>
    </row>
    <row r="85" spans="3:4">
      <c r="C85" s="612" t="s">
        <v>373</v>
      </c>
      <c r="D85" s="37">
        <f>MIN(D79,D83)</f>
        <v>0</v>
      </c>
    </row>
  </sheetData>
  <sheetProtection algorithmName="SHA-512" hashValue="rcS2QKgiWaBXlsntqWhVyhLULaHPsJuuq3wqwh8gd158Dx3ZpBMWg1+h+uTQRf//N0P55/iLzJ42L7IRjrxCHg==" saltValue="VPqCnMY43CYxxemIeBW7wQ==" spinCount="100000" sheet="1" formatColumns="0" formatRows="0"/>
  <sortState xmlns:xlrd2="http://schemas.microsoft.com/office/spreadsheetml/2017/richdata2" ref="A34:F58">
    <sortCondition ref="A34:A58"/>
  </sortState>
  <dataConsolidate/>
  <mergeCells count="10">
    <mergeCell ref="C11:D11"/>
    <mergeCell ref="C12:D12"/>
    <mergeCell ref="C13:D13"/>
    <mergeCell ref="C14:D14"/>
    <mergeCell ref="C4:D4"/>
    <mergeCell ref="C5:D5"/>
    <mergeCell ref="C6:D6"/>
    <mergeCell ref="C8:D8"/>
    <mergeCell ref="C9:D9"/>
    <mergeCell ref="C10:D10"/>
  </mergeCells>
  <phoneticPr fontId="0" type="noConversion"/>
  <dataValidations count="3">
    <dataValidation type="whole" allowBlank="1" showInputMessage="1" showErrorMessage="1" prompt="Please enter a value from 1-10. " sqref="B3" xr:uid="{C02560A7-CD8C-4D54-B2E6-28A9E1D43F5C}">
      <formula1>1</formula1>
      <formula2>10</formula2>
    </dataValidation>
    <dataValidation type="date" allowBlank="1" showInputMessage="1" showErrorMessage="1" prompt="Please enter date of this proforma revision in DD/MM/YYYY format. Please do not enter a formula." sqref="B2" xr:uid="{50EA807E-4890-47BA-8173-5425389BF4B6}">
      <formula1>32874</formula1>
      <formula2>219148</formula2>
    </dataValidation>
    <dataValidation type="whole" operator="greaterThanOrEqual" allowBlank="1" showInputMessage="1" showErrorMessage="1" prompt="While services may be available to all households, in this cell please include only the number of units that will carry specific designations (e.g. units serving households exiting homelessness or at risk of homelessness). " sqref="B7" xr:uid="{35DEDC42-7D30-4870-8097-405A0E905400}">
      <formula1>0</formula1>
    </dataValidation>
  </dataValidations>
  <pageMargins left="0.75" right="0.75" top="1" bottom="1" header="0.5" footer="0.5"/>
  <pageSetup scale="43" orientation="portrait" r:id="rId1"/>
  <headerFooter alignWithMargins="0">
    <oddFooter>&amp;L&amp;F
&amp;D&amp;T&amp;R&amp;"Times New Roman,Regular"&amp;8revision date:  11/3/2018</oddFooter>
  </headerFooter>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promptTitle="Equity Bridge Loan" prompt="Select VHFA Equity Bridge Loan, Non-VHFA Equity Bridge Loan, or None" xr:uid="{4F4FD328-2F39-4707-8854-AFAE4778858F}">
          <x14:formula1>
            <xm:f>'VHFA Use'!$C$65:$C$67</xm:f>
          </x14:formula1>
          <xm:sqref>A71</xm:sqref>
        </x14:dataValidation>
        <x14:dataValidation type="list" allowBlank="1" showInputMessage="1" showErrorMessage="1" promptTitle="Type of LIHTC" prompt="Select either &quot;LIHTC - 9%&quot; for a Ceilling or Allocated Credit or &quot;LIHTC - 4%&quot; for a Tax Exempt Bond or Bond Credit project. Select &quot;LIHTC - None&quot; if not a LIHTC project._x000a__x000a_Note: The acquisition credit rate will automatically calculate based on the 4% rate." xr:uid="{9FCF3086-5EF0-4E89-8287-53342DEE4548}">
          <x14:formula1>
            <xm:f>'VHFA Use'!$C$74:$C$76</xm:f>
          </x14:formula1>
          <xm:sqref>A18</xm:sqref>
        </x14:dataValidation>
        <x14:dataValidation type="list" showInputMessage="1" showErrorMessage="1" xr:uid="{76A2CD47-7C08-472E-B20D-45D702ED07E1}">
          <x14:formula1>
            <xm:f>'VHFA Use'!$C$95:$C$96</xm:f>
          </x14:formula1>
          <xm:sqref>E9</xm:sqref>
        </x14:dataValidation>
        <x14:dataValidation type="list" showInputMessage="1" showErrorMessage="1" xr:uid="{0E8B6A06-0942-4AA9-BFAC-B6ED4EB99779}">
          <x14:formula1>
            <xm:f>'VHFA Use'!$C$89:$C$91</xm:f>
          </x14:formula1>
          <xm:sqref>E4:E6</xm:sqref>
        </x14:dataValidation>
        <x14:dataValidation type="list" showInputMessage="1" showErrorMessage="1" xr:uid="{63F4ABFC-E996-42BE-9D83-2579ACDF20E8}">
          <x14:formula1>
            <xm:f>'VHFA Use'!$C$92:$C$94</xm:f>
          </x14:formula1>
          <xm:sqref>E8</xm:sqref>
        </x14:dataValidation>
        <x14:dataValidation type="list" allowBlank="1" showInputMessage="1" showErrorMessage="1" xr:uid="{09F9302E-05F0-4EED-AF10-E9BC5CF07AAA}">
          <x14:formula1>
            <xm:f>'VHFA Use'!$C$86:$C$88</xm:f>
          </x14:formula1>
          <xm:sqref>B13</xm:sqref>
        </x14:dataValidation>
        <x14:dataValidation type="list" allowBlank="1" showInputMessage="1" showErrorMessage="1" xr:uid="{4AC4CC0F-6146-4859-A2FA-C018B2E0B206}">
          <x14:formula1>
            <xm:f>'VHFA Use'!$C$79:$C$80</xm:f>
          </x14:formula1>
          <xm:sqref>G21:G57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06DDE-E868-41AE-BDB1-252D65FF6513}">
  <sheetPr transitionEvaluation="1">
    <pageSetUpPr autoPageBreaks="0" fitToPage="1"/>
  </sheetPr>
  <dimension ref="A1:O177"/>
  <sheetViews>
    <sheetView zoomScaleNormal="100" zoomScaleSheetLayoutView="90" workbookViewId="0"/>
  </sheetViews>
  <sheetFormatPr defaultColWidth="19.1640625" defaultRowHeight="13.8" outlineLevelRow="2" outlineLevelCol="1"/>
  <cols>
    <col min="1" max="1" width="7.4140625" style="4" bestFit="1" customWidth="1"/>
    <col min="2" max="2" width="34.75" style="4" customWidth="1"/>
    <col min="3" max="3" width="22.25" style="4" customWidth="1"/>
    <col min="4" max="4" width="19.75" style="4" customWidth="1"/>
    <col min="5" max="5" width="20.75" style="4" customWidth="1"/>
    <col min="6" max="6" width="19.4140625" style="4" customWidth="1"/>
    <col min="7" max="13" width="16.75" style="4" customWidth="1" outlineLevel="1"/>
    <col min="14" max="14" width="10.25" style="4" customWidth="1"/>
    <col min="15" max="15" width="9" style="4" customWidth="1"/>
    <col min="16" max="16" width="8" style="4" bestFit="1" customWidth="1"/>
    <col min="17" max="17" width="17.1640625" style="4" customWidth="1"/>
    <col min="18" max="16384" width="19.1640625" style="4"/>
  </cols>
  <sheetData>
    <row r="1" spans="1:14" ht="14.4" thickBot="1">
      <c r="A1" s="103" t="str">
        <f>assumptions!B2</f>
        <v>enter date</v>
      </c>
      <c r="B1" s="104" t="str">
        <f>assumptions!B1</f>
        <v>enter project name</v>
      </c>
      <c r="C1" s="147"/>
      <c r="D1" s="104"/>
      <c r="E1" s="104"/>
      <c r="F1" s="172" t="s">
        <v>374</v>
      </c>
      <c r="G1" s="104"/>
      <c r="H1" s="104"/>
      <c r="I1" s="104"/>
      <c r="J1" s="104"/>
      <c r="K1" s="104"/>
      <c r="L1" s="104"/>
      <c r="M1" s="104"/>
    </row>
    <row r="2" spans="1:14" ht="16.95" customHeight="1" thickTop="1">
      <c r="B2" s="175" t="s">
        <v>375</v>
      </c>
      <c r="C2" s="148" t="s">
        <v>376</v>
      </c>
      <c r="D2" s="145" t="s">
        <v>377</v>
      </c>
      <c r="E2" s="145" t="s">
        <v>378</v>
      </c>
      <c r="F2" s="145" t="s">
        <v>379</v>
      </c>
      <c r="G2" s="145" t="s">
        <v>380</v>
      </c>
      <c r="H2" s="145" t="s">
        <v>381</v>
      </c>
      <c r="I2" s="145" t="s">
        <v>382</v>
      </c>
      <c r="J2" s="145" t="s">
        <v>383</v>
      </c>
      <c r="K2" s="145" t="s">
        <v>384</v>
      </c>
      <c r="L2" s="145" t="s">
        <v>385</v>
      </c>
      <c r="M2" s="145" t="s">
        <v>386</v>
      </c>
      <c r="N2" s="146"/>
    </row>
    <row r="3" spans="1:14" s="12" customFormat="1">
      <c r="C3" s="149" t="s">
        <v>387</v>
      </c>
      <c r="D3" s="11" t="s">
        <v>387</v>
      </c>
      <c r="E3" s="11" t="s">
        <v>387</v>
      </c>
      <c r="F3" s="11" t="s">
        <v>387</v>
      </c>
      <c r="G3" s="11" t="s">
        <v>387</v>
      </c>
      <c r="H3" s="11" t="s">
        <v>387</v>
      </c>
      <c r="I3" s="11" t="s">
        <v>387</v>
      </c>
      <c r="J3" s="11" t="s">
        <v>387</v>
      </c>
      <c r="K3" s="11" t="s">
        <v>387</v>
      </c>
      <c r="L3" s="11" t="s">
        <v>387</v>
      </c>
      <c r="M3" s="11" t="s">
        <v>387</v>
      </c>
    </row>
    <row r="4" spans="1:14">
      <c r="B4" s="15" t="s">
        <v>388</v>
      </c>
      <c r="C4" s="32"/>
      <c r="D4" s="15"/>
      <c r="E4" s="15"/>
      <c r="F4" s="15"/>
      <c r="G4" s="15"/>
      <c r="H4" s="15"/>
      <c r="I4" s="15"/>
      <c r="J4" s="15"/>
      <c r="K4" s="15"/>
      <c r="L4" s="15"/>
      <c r="M4" s="15"/>
    </row>
    <row r="5" spans="1:14">
      <c r="B5" s="5" t="s">
        <v>389</v>
      </c>
      <c r="C5" s="153">
        <f t="shared" ref="C5:C12" si="0">SUM(D5:M5)</f>
        <v>0</v>
      </c>
      <c r="D5" s="55">
        <v>0</v>
      </c>
      <c r="E5" s="55">
        <v>0</v>
      </c>
      <c r="F5" s="55">
        <v>0</v>
      </c>
      <c r="G5" s="55">
        <v>0</v>
      </c>
      <c r="H5" s="55">
        <v>0</v>
      </c>
      <c r="I5" s="55">
        <v>0</v>
      </c>
      <c r="J5" s="55">
        <v>0</v>
      </c>
      <c r="K5" s="55">
        <v>0</v>
      </c>
      <c r="L5" s="55">
        <v>0</v>
      </c>
      <c r="M5" s="55">
        <v>0</v>
      </c>
    </row>
    <row r="6" spans="1:14">
      <c r="B6" s="5" t="s">
        <v>390</v>
      </c>
      <c r="C6" s="153">
        <f t="shared" si="0"/>
        <v>0</v>
      </c>
      <c r="D6" s="55">
        <v>0</v>
      </c>
      <c r="E6" s="55">
        <v>0</v>
      </c>
      <c r="F6" s="55">
        <v>0</v>
      </c>
      <c r="G6" s="55">
        <v>0</v>
      </c>
      <c r="H6" s="55">
        <v>0</v>
      </c>
      <c r="I6" s="55">
        <v>0</v>
      </c>
      <c r="J6" s="55">
        <v>0</v>
      </c>
      <c r="K6" s="55">
        <v>0</v>
      </c>
      <c r="L6" s="55">
        <v>0</v>
      </c>
      <c r="M6" s="55">
        <v>0</v>
      </c>
    </row>
    <row r="7" spans="1:14">
      <c r="B7" s="7" t="s">
        <v>391</v>
      </c>
      <c r="C7" s="153">
        <f t="shared" si="0"/>
        <v>0</v>
      </c>
      <c r="D7" s="55">
        <v>0</v>
      </c>
      <c r="E7" s="55">
        <v>0</v>
      </c>
      <c r="F7" s="55">
        <v>0</v>
      </c>
      <c r="G7" s="55">
        <v>0</v>
      </c>
      <c r="H7" s="55">
        <v>0</v>
      </c>
      <c r="I7" s="55">
        <v>0</v>
      </c>
      <c r="J7" s="55">
        <v>0</v>
      </c>
      <c r="K7" s="55">
        <v>0</v>
      </c>
      <c r="L7" s="55">
        <v>0</v>
      </c>
      <c r="M7" s="55">
        <v>0</v>
      </c>
    </row>
    <row r="8" spans="1:14">
      <c r="B8" s="7" t="s">
        <v>392</v>
      </c>
      <c r="C8" s="153">
        <f t="shared" si="0"/>
        <v>0</v>
      </c>
      <c r="D8" s="55">
        <v>0</v>
      </c>
      <c r="E8" s="55">
        <v>0</v>
      </c>
      <c r="F8" s="55">
        <v>0</v>
      </c>
      <c r="G8" s="55">
        <v>0</v>
      </c>
      <c r="H8" s="55">
        <v>0</v>
      </c>
      <c r="I8" s="55">
        <v>0</v>
      </c>
      <c r="J8" s="55">
        <v>0</v>
      </c>
      <c r="K8" s="55">
        <v>0</v>
      </c>
      <c r="L8" s="55">
        <v>0</v>
      </c>
      <c r="M8" s="55">
        <v>0</v>
      </c>
    </row>
    <row r="9" spans="1:14">
      <c r="B9" s="5" t="s">
        <v>393</v>
      </c>
      <c r="C9" s="153">
        <f t="shared" si="0"/>
        <v>0</v>
      </c>
      <c r="D9" s="55">
        <v>0</v>
      </c>
      <c r="E9" s="55">
        <v>0</v>
      </c>
      <c r="F9" s="55">
        <v>0</v>
      </c>
      <c r="G9" s="55">
        <v>0</v>
      </c>
      <c r="H9" s="55">
        <v>0</v>
      </c>
      <c r="I9" s="55">
        <v>0</v>
      </c>
      <c r="J9" s="55">
        <v>0</v>
      </c>
      <c r="K9" s="55">
        <v>0</v>
      </c>
      <c r="L9" s="55">
        <v>0</v>
      </c>
      <c r="M9" s="55">
        <v>0</v>
      </c>
    </row>
    <row r="10" spans="1:14" ht="14.4" outlineLevel="1">
      <c r="B10" s="790" t="s">
        <v>347</v>
      </c>
      <c r="C10" s="153">
        <f t="shared" si="0"/>
        <v>0</v>
      </c>
      <c r="D10" s="55">
        <v>0</v>
      </c>
      <c r="E10" s="55">
        <v>0</v>
      </c>
      <c r="F10" s="55">
        <v>0</v>
      </c>
      <c r="G10" s="55">
        <v>0</v>
      </c>
      <c r="H10" s="55">
        <v>0</v>
      </c>
      <c r="I10" s="55">
        <v>0</v>
      </c>
      <c r="J10" s="55">
        <v>0</v>
      </c>
      <c r="K10" s="55">
        <v>0</v>
      </c>
      <c r="L10" s="55">
        <v>0</v>
      </c>
      <c r="M10" s="55">
        <v>0</v>
      </c>
    </row>
    <row r="11" spans="1:14" ht="14.4" outlineLevel="1">
      <c r="B11" s="790" t="s">
        <v>347</v>
      </c>
      <c r="C11" s="153">
        <f t="shared" si="0"/>
        <v>0</v>
      </c>
      <c r="D11" s="55">
        <v>0</v>
      </c>
      <c r="E11" s="55">
        <v>0</v>
      </c>
      <c r="F11" s="55">
        <v>0</v>
      </c>
      <c r="G11" s="55">
        <v>0</v>
      </c>
      <c r="H11" s="55">
        <v>0</v>
      </c>
      <c r="I11" s="55">
        <v>0</v>
      </c>
      <c r="J11" s="55">
        <v>0</v>
      </c>
      <c r="K11" s="55">
        <v>0</v>
      </c>
      <c r="L11" s="55">
        <v>0</v>
      </c>
      <c r="M11" s="55">
        <v>0</v>
      </c>
    </row>
    <row r="12" spans="1:14" ht="14.4" outlineLevel="1">
      <c r="B12" s="790" t="s">
        <v>347</v>
      </c>
      <c r="C12" s="153">
        <f t="shared" si="0"/>
        <v>0</v>
      </c>
      <c r="D12" s="55">
        <v>0</v>
      </c>
      <c r="E12" s="55">
        <v>0</v>
      </c>
      <c r="F12" s="55">
        <v>0</v>
      </c>
      <c r="G12" s="55">
        <v>0</v>
      </c>
      <c r="H12" s="55">
        <v>0</v>
      </c>
      <c r="I12" s="55">
        <v>0</v>
      </c>
      <c r="J12" s="55">
        <v>0</v>
      </c>
      <c r="K12" s="55">
        <v>0</v>
      </c>
      <c r="L12" s="55">
        <v>0</v>
      </c>
      <c r="M12" s="55">
        <v>0</v>
      </c>
    </row>
    <row r="13" spans="1:14" ht="14.4">
      <c r="A13" s="42"/>
      <c r="B13" s="13" t="s">
        <v>394</v>
      </c>
      <c r="C13" s="150">
        <f>SUM(C5:C12)</f>
        <v>0</v>
      </c>
      <c r="D13" s="141">
        <f>SUM(D5:D12)</f>
        <v>0</v>
      </c>
      <c r="E13" s="141">
        <f>SUM(E5:E12)</f>
        <v>0</v>
      </c>
      <c r="F13" s="141">
        <f>SUM(F5:F12)</f>
        <v>0</v>
      </c>
      <c r="G13" s="141">
        <f t="shared" ref="G13:M13" si="1">SUM(G5:G12)</f>
        <v>0</v>
      </c>
      <c r="H13" s="141">
        <f t="shared" si="1"/>
        <v>0</v>
      </c>
      <c r="I13" s="141">
        <f t="shared" si="1"/>
        <v>0</v>
      </c>
      <c r="J13" s="141">
        <f t="shared" si="1"/>
        <v>0</v>
      </c>
      <c r="K13" s="141">
        <f t="shared" si="1"/>
        <v>0</v>
      </c>
      <c r="L13" s="141">
        <f t="shared" si="1"/>
        <v>0</v>
      </c>
      <c r="M13" s="141">
        <f t="shared" si="1"/>
        <v>0</v>
      </c>
    </row>
    <row r="14" spans="1:14">
      <c r="B14" s="15" t="s">
        <v>395</v>
      </c>
      <c r="C14" s="303"/>
      <c r="D14" s="15"/>
      <c r="E14" s="15"/>
      <c r="F14" s="15"/>
      <c r="G14" s="15"/>
      <c r="H14" s="15"/>
      <c r="I14" s="15"/>
      <c r="J14" s="15"/>
      <c r="K14" s="15"/>
      <c r="L14" s="15"/>
      <c r="M14" s="15"/>
    </row>
    <row r="15" spans="1:14">
      <c r="B15" s="5" t="s">
        <v>396</v>
      </c>
      <c r="C15" s="153">
        <f t="shared" ref="C15:C32" si="2">SUM(D15:M15)</f>
        <v>0</v>
      </c>
      <c r="D15" s="55">
        <v>0</v>
      </c>
      <c r="E15" s="55">
        <v>0</v>
      </c>
      <c r="F15" s="55">
        <v>0</v>
      </c>
      <c r="G15" s="55">
        <v>0</v>
      </c>
      <c r="H15" s="55">
        <v>0</v>
      </c>
      <c r="I15" s="55">
        <v>0</v>
      </c>
      <c r="J15" s="55">
        <v>0</v>
      </c>
      <c r="K15" s="55">
        <v>0</v>
      </c>
      <c r="L15" s="55">
        <v>0</v>
      </c>
      <c r="M15" s="55">
        <v>0</v>
      </c>
    </row>
    <row r="16" spans="1:14">
      <c r="B16" s="7" t="s">
        <v>397</v>
      </c>
      <c r="C16" s="153">
        <f t="shared" si="2"/>
        <v>0</v>
      </c>
      <c r="D16" s="55">
        <v>0</v>
      </c>
      <c r="E16" s="55">
        <v>0</v>
      </c>
      <c r="F16" s="55">
        <v>0</v>
      </c>
      <c r="G16" s="55">
        <v>0</v>
      </c>
      <c r="H16" s="55">
        <v>0</v>
      </c>
      <c r="I16" s="55">
        <v>0</v>
      </c>
      <c r="J16" s="55">
        <v>0</v>
      </c>
      <c r="K16" s="55">
        <v>0</v>
      </c>
      <c r="L16" s="55">
        <v>0</v>
      </c>
      <c r="M16" s="55">
        <v>0</v>
      </c>
    </row>
    <row r="17" spans="1:13">
      <c r="B17" s="5" t="s">
        <v>398</v>
      </c>
      <c r="C17" s="153">
        <f t="shared" si="2"/>
        <v>0</v>
      </c>
      <c r="D17" s="55">
        <v>0</v>
      </c>
      <c r="E17" s="55">
        <v>0</v>
      </c>
      <c r="F17" s="55">
        <v>0</v>
      </c>
      <c r="G17" s="55">
        <v>0</v>
      </c>
      <c r="H17" s="55">
        <v>0</v>
      </c>
      <c r="I17" s="55">
        <v>0</v>
      </c>
      <c r="J17" s="55">
        <v>0</v>
      </c>
      <c r="K17" s="55">
        <v>0</v>
      </c>
      <c r="L17" s="55">
        <v>0</v>
      </c>
      <c r="M17" s="55">
        <v>0</v>
      </c>
    </row>
    <row r="18" spans="1:13">
      <c r="B18" s="5" t="s">
        <v>399</v>
      </c>
      <c r="C18" s="153">
        <f t="shared" si="2"/>
        <v>0</v>
      </c>
      <c r="D18" s="55">
        <v>0</v>
      </c>
      <c r="E18" s="55">
        <v>0</v>
      </c>
      <c r="F18" s="55">
        <v>0</v>
      </c>
      <c r="G18" s="55">
        <v>0</v>
      </c>
      <c r="H18" s="55">
        <v>0</v>
      </c>
      <c r="I18" s="55">
        <v>0</v>
      </c>
      <c r="J18" s="55">
        <v>0</v>
      </c>
      <c r="K18" s="55">
        <v>0</v>
      </c>
      <c r="L18" s="55">
        <v>0</v>
      </c>
      <c r="M18" s="55">
        <v>0</v>
      </c>
    </row>
    <row r="19" spans="1:13">
      <c r="B19" s="5" t="s">
        <v>400</v>
      </c>
      <c r="C19" s="153">
        <f t="shared" si="2"/>
        <v>0</v>
      </c>
      <c r="D19" s="55">
        <v>0</v>
      </c>
      <c r="E19" s="55">
        <v>0</v>
      </c>
      <c r="F19" s="55">
        <v>0</v>
      </c>
      <c r="G19" s="55">
        <v>0</v>
      </c>
      <c r="H19" s="55">
        <v>0</v>
      </c>
      <c r="I19" s="55">
        <v>0</v>
      </c>
      <c r="J19" s="55">
        <v>0</v>
      </c>
      <c r="K19" s="55">
        <v>0</v>
      </c>
      <c r="L19" s="55">
        <v>0</v>
      </c>
      <c r="M19" s="55">
        <v>0</v>
      </c>
    </row>
    <row r="20" spans="1:13">
      <c r="A20" s="34" t="str">
        <f>IF(ISERR(C20/$C$33),"N/A",C20/$C$33)</f>
        <v>N/A</v>
      </c>
      <c r="B20" s="5" t="s">
        <v>401</v>
      </c>
      <c r="C20" s="153">
        <f t="shared" si="2"/>
        <v>0</v>
      </c>
      <c r="D20" s="55">
        <v>0</v>
      </c>
      <c r="E20" s="55">
        <v>0</v>
      </c>
      <c r="F20" s="55">
        <v>0</v>
      </c>
      <c r="G20" s="55">
        <v>0</v>
      </c>
      <c r="H20" s="55">
        <v>0</v>
      </c>
      <c r="I20" s="55">
        <v>0</v>
      </c>
      <c r="J20" s="55">
        <v>0</v>
      </c>
      <c r="K20" s="55">
        <v>0</v>
      </c>
      <c r="L20" s="55">
        <v>0</v>
      </c>
      <c r="M20" s="55">
        <v>0</v>
      </c>
    </row>
    <row r="21" spans="1:13">
      <c r="A21" s="34" t="str">
        <f>IF(ISERR(C21/$C$33),"N/A",C21/$C$33)</f>
        <v>N/A</v>
      </c>
      <c r="B21" s="5" t="s">
        <v>402</v>
      </c>
      <c r="C21" s="153">
        <f t="shared" si="2"/>
        <v>0</v>
      </c>
      <c r="D21" s="55">
        <v>0</v>
      </c>
      <c r="E21" s="55">
        <v>0</v>
      </c>
      <c r="F21" s="55">
        <v>0</v>
      </c>
      <c r="G21" s="55">
        <v>0</v>
      </c>
      <c r="H21" s="55">
        <v>0</v>
      </c>
      <c r="I21" s="55">
        <v>0</v>
      </c>
      <c r="J21" s="55">
        <v>0</v>
      </c>
      <c r="K21" s="55">
        <v>0</v>
      </c>
      <c r="L21" s="55">
        <v>0</v>
      </c>
      <c r="M21" s="55">
        <v>0</v>
      </c>
    </row>
    <row r="22" spans="1:13">
      <c r="A22" s="34" t="str">
        <f>IF(ISERR(C22/$C$33),"N/A",C22/$C$33)</f>
        <v>N/A</v>
      </c>
      <c r="B22" s="5" t="s">
        <v>403</v>
      </c>
      <c r="C22" s="153">
        <f t="shared" si="2"/>
        <v>0</v>
      </c>
      <c r="D22" s="55">
        <v>0</v>
      </c>
      <c r="E22" s="55">
        <v>0</v>
      </c>
      <c r="F22" s="55">
        <v>0</v>
      </c>
      <c r="G22" s="55">
        <v>0</v>
      </c>
      <c r="H22" s="55">
        <v>0</v>
      </c>
      <c r="I22" s="55">
        <v>0</v>
      </c>
      <c r="J22" s="55">
        <v>0</v>
      </c>
      <c r="K22" s="55">
        <v>0</v>
      </c>
      <c r="L22" s="55">
        <v>0</v>
      </c>
      <c r="M22" s="55">
        <v>0</v>
      </c>
    </row>
    <row r="23" spans="1:13">
      <c r="A23" s="34" t="str">
        <f>IF(ISERR(C23/$C$33),"N/A",C23/$C$33)</f>
        <v>N/A</v>
      </c>
      <c r="B23" s="5" t="s">
        <v>404</v>
      </c>
      <c r="C23" s="153">
        <f t="shared" si="2"/>
        <v>0</v>
      </c>
      <c r="D23" s="55">
        <v>0</v>
      </c>
      <c r="E23" s="55">
        <v>0</v>
      </c>
      <c r="F23" s="55">
        <v>0</v>
      </c>
      <c r="G23" s="55">
        <v>0</v>
      </c>
      <c r="H23" s="55">
        <v>0</v>
      </c>
      <c r="I23" s="55">
        <v>0</v>
      </c>
      <c r="J23" s="55">
        <v>0</v>
      </c>
      <c r="K23" s="55">
        <v>0</v>
      </c>
      <c r="L23" s="55">
        <v>0</v>
      </c>
      <c r="M23" s="55">
        <v>0</v>
      </c>
    </row>
    <row r="24" spans="1:13">
      <c r="B24" s="5" t="s">
        <v>405</v>
      </c>
      <c r="C24" s="153">
        <f t="shared" si="2"/>
        <v>0</v>
      </c>
      <c r="D24" s="55">
        <v>0</v>
      </c>
      <c r="E24" s="55">
        <v>0</v>
      </c>
      <c r="F24" s="55">
        <v>0</v>
      </c>
      <c r="G24" s="55">
        <v>0</v>
      </c>
      <c r="H24" s="55">
        <v>0</v>
      </c>
      <c r="I24" s="55">
        <v>0</v>
      </c>
      <c r="J24" s="55">
        <v>0</v>
      </c>
      <c r="K24" s="55">
        <v>0</v>
      </c>
      <c r="L24" s="55">
        <v>0</v>
      </c>
      <c r="M24" s="55">
        <v>0</v>
      </c>
    </row>
    <row r="25" spans="1:13">
      <c r="B25" s="5" t="s">
        <v>406</v>
      </c>
      <c r="C25" s="153">
        <f t="shared" si="2"/>
        <v>0</v>
      </c>
      <c r="D25" s="55">
        <v>0</v>
      </c>
      <c r="E25" s="55">
        <v>0</v>
      </c>
      <c r="F25" s="55">
        <v>0</v>
      </c>
      <c r="G25" s="55">
        <v>0</v>
      </c>
      <c r="H25" s="55">
        <v>0</v>
      </c>
      <c r="I25" s="55">
        <v>0</v>
      </c>
      <c r="J25" s="55">
        <v>0</v>
      </c>
      <c r="K25" s="55">
        <v>0</v>
      </c>
      <c r="L25" s="55">
        <v>0</v>
      </c>
      <c r="M25" s="55">
        <v>0</v>
      </c>
    </row>
    <row r="26" spans="1:13">
      <c r="B26" s="5" t="s">
        <v>407</v>
      </c>
      <c r="C26" s="153">
        <f t="shared" si="2"/>
        <v>0</v>
      </c>
      <c r="D26" s="55">
        <v>0</v>
      </c>
      <c r="E26" s="55">
        <v>0</v>
      </c>
      <c r="F26" s="55">
        <v>0</v>
      </c>
      <c r="G26" s="55">
        <v>0</v>
      </c>
      <c r="H26" s="55">
        <v>0</v>
      </c>
      <c r="I26" s="55">
        <v>0</v>
      </c>
      <c r="J26" s="55">
        <v>0</v>
      </c>
      <c r="K26" s="55">
        <v>0</v>
      </c>
      <c r="L26" s="55">
        <v>0</v>
      </c>
      <c r="M26" s="55">
        <v>0</v>
      </c>
    </row>
    <row r="27" spans="1:13">
      <c r="B27" s="5" t="s">
        <v>408</v>
      </c>
      <c r="C27" s="153">
        <f t="shared" si="2"/>
        <v>0</v>
      </c>
      <c r="D27" s="55">
        <v>0</v>
      </c>
      <c r="E27" s="55">
        <v>0</v>
      </c>
      <c r="F27" s="55">
        <v>0</v>
      </c>
      <c r="G27" s="55">
        <v>0</v>
      </c>
      <c r="H27" s="55">
        <v>0</v>
      </c>
      <c r="I27" s="55">
        <v>0</v>
      </c>
      <c r="J27" s="55">
        <v>0</v>
      </c>
      <c r="K27" s="55">
        <v>0</v>
      </c>
      <c r="L27" s="55">
        <v>0</v>
      </c>
      <c r="M27" s="55">
        <v>0</v>
      </c>
    </row>
    <row r="28" spans="1:13" ht="14.4" outlineLevel="1">
      <c r="B28" s="790" t="s">
        <v>347</v>
      </c>
      <c r="C28" s="153">
        <f t="shared" si="2"/>
        <v>0</v>
      </c>
      <c r="D28" s="55">
        <v>0</v>
      </c>
      <c r="E28" s="55">
        <v>0</v>
      </c>
      <c r="F28" s="55">
        <v>0</v>
      </c>
      <c r="G28" s="55">
        <v>0</v>
      </c>
      <c r="H28" s="55">
        <v>0</v>
      </c>
      <c r="I28" s="55">
        <v>0</v>
      </c>
      <c r="J28" s="55">
        <v>0</v>
      </c>
      <c r="K28" s="55">
        <v>0</v>
      </c>
      <c r="L28" s="55">
        <v>0</v>
      </c>
      <c r="M28" s="55">
        <v>0</v>
      </c>
    </row>
    <row r="29" spans="1:13" ht="14.4" outlineLevel="1">
      <c r="B29" s="790" t="s">
        <v>347</v>
      </c>
      <c r="C29" s="153">
        <f t="shared" si="2"/>
        <v>0</v>
      </c>
      <c r="D29" s="55">
        <v>0</v>
      </c>
      <c r="E29" s="55">
        <v>0</v>
      </c>
      <c r="F29" s="55">
        <v>0</v>
      </c>
      <c r="G29" s="55">
        <v>0</v>
      </c>
      <c r="H29" s="55">
        <v>0</v>
      </c>
      <c r="I29" s="55">
        <v>0</v>
      </c>
      <c r="J29" s="55">
        <v>0</v>
      </c>
      <c r="K29" s="55">
        <v>0</v>
      </c>
      <c r="L29" s="55">
        <v>0</v>
      </c>
      <c r="M29" s="55">
        <v>0</v>
      </c>
    </row>
    <row r="30" spans="1:13" ht="14.4" outlineLevel="1">
      <c r="B30" s="790" t="s">
        <v>347</v>
      </c>
      <c r="C30" s="153">
        <f t="shared" si="2"/>
        <v>0</v>
      </c>
      <c r="D30" s="55">
        <v>0</v>
      </c>
      <c r="E30" s="55">
        <v>0</v>
      </c>
      <c r="F30" s="55">
        <v>0</v>
      </c>
      <c r="G30" s="55">
        <v>0</v>
      </c>
      <c r="H30" s="55">
        <v>0</v>
      </c>
      <c r="I30" s="55">
        <v>0</v>
      </c>
      <c r="J30" s="55">
        <v>0</v>
      </c>
      <c r="K30" s="55">
        <v>0</v>
      </c>
      <c r="L30" s="55">
        <v>0</v>
      </c>
      <c r="M30" s="55">
        <v>0</v>
      </c>
    </row>
    <row r="31" spans="1:13" ht="14.4" outlineLevel="1">
      <c r="B31" s="790" t="s">
        <v>347</v>
      </c>
      <c r="C31" s="153">
        <f t="shared" si="2"/>
        <v>0</v>
      </c>
      <c r="D31" s="55">
        <v>0</v>
      </c>
      <c r="E31" s="55">
        <v>0</v>
      </c>
      <c r="F31" s="55">
        <v>0</v>
      </c>
      <c r="G31" s="55">
        <v>0</v>
      </c>
      <c r="H31" s="55">
        <v>0</v>
      </c>
      <c r="I31" s="55">
        <v>0</v>
      </c>
      <c r="J31" s="55">
        <v>0</v>
      </c>
      <c r="K31" s="55">
        <v>0</v>
      </c>
      <c r="L31" s="55">
        <v>0</v>
      </c>
      <c r="M31" s="55">
        <v>0</v>
      </c>
    </row>
    <row r="32" spans="1:13" ht="14.4" outlineLevel="1">
      <c r="B32" s="790" t="s">
        <v>347</v>
      </c>
      <c r="C32" s="153">
        <f t="shared" si="2"/>
        <v>0</v>
      </c>
      <c r="D32" s="55">
        <v>0</v>
      </c>
      <c r="E32" s="55">
        <v>0</v>
      </c>
      <c r="F32" s="55">
        <v>0</v>
      </c>
      <c r="G32" s="55">
        <v>0</v>
      </c>
      <c r="H32" s="55">
        <v>0</v>
      </c>
      <c r="I32" s="55">
        <v>0</v>
      </c>
      <c r="J32" s="55">
        <v>0</v>
      </c>
      <c r="K32" s="55">
        <v>0</v>
      </c>
      <c r="L32" s="55">
        <v>0</v>
      </c>
      <c r="M32" s="55">
        <v>0</v>
      </c>
    </row>
    <row r="33" spans="1:13" ht="14.4">
      <c r="A33" s="42"/>
      <c r="B33" s="13" t="s">
        <v>409</v>
      </c>
      <c r="C33" s="150">
        <f>SUM(C15:C32)</f>
        <v>0</v>
      </c>
      <c r="D33" s="141">
        <f>SUM(D15:D32)</f>
        <v>0</v>
      </c>
      <c r="E33" s="141">
        <f t="shared" ref="E33:M33" si="3">SUM(E15:E32)</f>
        <v>0</v>
      </c>
      <c r="F33" s="141">
        <f t="shared" si="3"/>
        <v>0</v>
      </c>
      <c r="G33" s="141">
        <f t="shared" si="3"/>
        <v>0</v>
      </c>
      <c r="H33" s="141">
        <f t="shared" si="3"/>
        <v>0</v>
      </c>
      <c r="I33" s="141">
        <f t="shared" si="3"/>
        <v>0</v>
      </c>
      <c r="J33" s="141">
        <f t="shared" si="3"/>
        <v>0</v>
      </c>
      <c r="K33" s="141">
        <f t="shared" si="3"/>
        <v>0</v>
      </c>
      <c r="L33" s="141">
        <f t="shared" si="3"/>
        <v>0</v>
      </c>
      <c r="M33" s="141">
        <f t="shared" si="3"/>
        <v>0</v>
      </c>
    </row>
    <row r="34" spans="1:13">
      <c r="A34" s="42"/>
      <c r="B34" s="17" t="s">
        <v>410</v>
      </c>
      <c r="C34" s="154">
        <f>SUM(C13,C33)</f>
        <v>0</v>
      </c>
      <c r="D34" s="100">
        <f>D33+D13</f>
        <v>0</v>
      </c>
      <c r="E34" s="100">
        <f t="shared" ref="E34:M34" si="4">E33+E13</f>
        <v>0</v>
      </c>
      <c r="F34" s="100">
        <f t="shared" si="4"/>
        <v>0</v>
      </c>
      <c r="G34" s="100">
        <f t="shared" si="4"/>
        <v>0</v>
      </c>
      <c r="H34" s="100">
        <f t="shared" si="4"/>
        <v>0</v>
      </c>
      <c r="I34" s="100">
        <f t="shared" si="4"/>
        <v>0</v>
      </c>
      <c r="J34" s="100">
        <f t="shared" si="4"/>
        <v>0</v>
      </c>
      <c r="K34" s="100">
        <f t="shared" si="4"/>
        <v>0</v>
      </c>
      <c r="L34" s="100">
        <f t="shared" si="4"/>
        <v>0</v>
      </c>
      <c r="M34" s="100">
        <f t="shared" si="4"/>
        <v>0</v>
      </c>
    </row>
    <row r="35" spans="1:13">
      <c r="B35" s="15" t="s">
        <v>411</v>
      </c>
      <c r="C35" s="303"/>
      <c r="D35" s="15"/>
      <c r="E35" s="15"/>
      <c r="F35" s="15"/>
      <c r="G35" s="15"/>
      <c r="H35" s="15"/>
      <c r="I35" s="15"/>
      <c r="J35" s="15"/>
      <c r="K35" s="15"/>
      <c r="L35" s="15"/>
      <c r="M35" s="15"/>
    </row>
    <row r="36" spans="1:13">
      <c r="B36" s="5" t="s">
        <v>412</v>
      </c>
      <c r="C36" s="153">
        <f t="shared" ref="C36:C65" si="5">SUM(D36:M36)</f>
        <v>0</v>
      </c>
      <c r="D36" s="55">
        <v>0</v>
      </c>
      <c r="E36" s="55">
        <v>0</v>
      </c>
      <c r="F36" s="55">
        <v>0</v>
      </c>
      <c r="G36" s="55">
        <v>0</v>
      </c>
      <c r="H36" s="55">
        <v>0</v>
      </c>
      <c r="I36" s="55">
        <v>0</v>
      </c>
      <c r="J36" s="55">
        <v>0</v>
      </c>
      <c r="K36" s="55">
        <v>0</v>
      </c>
      <c r="L36" s="55">
        <v>0</v>
      </c>
      <c r="M36" s="55">
        <v>0</v>
      </c>
    </row>
    <row r="37" spans="1:13">
      <c r="B37" s="5" t="s">
        <v>413</v>
      </c>
      <c r="C37" s="153">
        <f>SUM(D37:M37)</f>
        <v>0</v>
      </c>
      <c r="D37" s="55">
        <v>0</v>
      </c>
      <c r="E37" s="55">
        <v>0</v>
      </c>
      <c r="F37" s="55">
        <v>0</v>
      </c>
      <c r="G37" s="55">
        <v>0</v>
      </c>
      <c r="H37" s="55">
        <v>0</v>
      </c>
      <c r="I37" s="55">
        <v>0</v>
      </c>
      <c r="J37" s="55">
        <v>0</v>
      </c>
      <c r="K37" s="55">
        <v>0</v>
      </c>
      <c r="L37" s="55">
        <v>0</v>
      </c>
      <c r="M37" s="55">
        <v>0</v>
      </c>
    </row>
    <row r="38" spans="1:13" ht="14.4">
      <c r="A38" s="190"/>
      <c r="B38" s="5" t="s">
        <v>414</v>
      </c>
      <c r="C38" s="153">
        <f t="shared" si="5"/>
        <v>0</v>
      </c>
      <c r="D38" s="55">
        <v>0</v>
      </c>
      <c r="E38" s="55">
        <v>0</v>
      </c>
      <c r="F38" s="55">
        <v>0</v>
      </c>
      <c r="G38" s="55">
        <v>0</v>
      </c>
      <c r="H38" s="55">
        <v>0</v>
      </c>
      <c r="I38" s="55">
        <v>0</v>
      </c>
      <c r="J38" s="55">
        <v>0</v>
      </c>
      <c r="K38" s="55">
        <v>0</v>
      </c>
      <c r="L38" s="55">
        <v>0</v>
      </c>
      <c r="M38" s="55">
        <v>0</v>
      </c>
    </row>
    <row r="39" spans="1:13">
      <c r="B39" s="7" t="s">
        <v>415</v>
      </c>
      <c r="C39" s="153">
        <f t="shared" si="5"/>
        <v>0</v>
      </c>
      <c r="D39" s="55">
        <v>0</v>
      </c>
      <c r="E39" s="55">
        <v>0</v>
      </c>
      <c r="F39" s="55">
        <v>0</v>
      </c>
      <c r="G39" s="55">
        <v>0</v>
      </c>
      <c r="H39" s="55">
        <v>0</v>
      </c>
      <c r="I39" s="55">
        <v>0</v>
      </c>
      <c r="J39" s="55">
        <v>0</v>
      </c>
      <c r="K39" s="55">
        <v>0</v>
      </c>
      <c r="L39" s="55">
        <v>0</v>
      </c>
      <c r="M39" s="55">
        <v>0</v>
      </c>
    </row>
    <row r="40" spans="1:13">
      <c r="B40" s="5" t="s">
        <v>416</v>
      </c>
      <c r="C40" s="153">
        <f t="shared" si="5"/>
        <v>0</v>
      </c>
      <c r="D40" s="55">
        <v>0</v>
      </c>
      <c r="E40" s="55">
        <v>0</v>
      </c>
      <c r="F40" s="55">
        <v>0</v>
      </c>
      <c r="G40" s="55">
        <v>0</v>
      </c>
      <c r="H40" s="55">
        <v>0</v>
      </c>
      <c r="I40" s="55">
        <v>0</v>
      </c>
      <c r="J40" s="55">
        <v>0</v>
      </c>
      <c r="K40" s="55">
        <v>0</v>
      </c>
      <c r="L40" s="55">
        <v>0</v>
      </c>
      <c r="M40" s="55">
        <v>0</v>
      </c>
    </row>
    <row r="41" spans="1:13">
      <c r="B41" s="5" t="s">
        <v>417</v>
      </c>
      <c r="C41" s="153">
        <f t="shared" si="5"/>
        <v>0</v>
      </c>
      <c r="D41" s="55">
        <v>0</v>
      </c>
      <c r="E41" s="55">
        <v>0</v>
      </c>
      <c r="F41" s="55">
        <v>0</v>
      </c>
      <c r="G41" s="55">
        <v>0</v>
      </c>
      <c r="H41" s="55">
        <v>0</v>
      </c>
      <c r="I41" s="55">
        <v>0</v>
      </c>
      <c r="J41" s="55">
        <v>0</v>
      </c>
      <c r="K41" s="55">
        <v>0</v>
      </c>
      <c r="L41" s="55">
        <v>0</v>
      </c>
      <c r="M41" s="55">
        <v>0</v>
      </c>
    </row>
    <row r="42" spans="1:13">
      <c r="B42" s="5" t="s">
        <v>418</v>
      </c>
      <c r="C42" s="153">
        <f t="shared" si="5"/>
        <v>0</v>
      </c>
      <c r="D42" s="55">
        <v>0</v>
      </c>
      <c r="E42" s="55">
        <v>0</v>
      </c>
      <c r="F42" s="55">
        <v>0</v>
      </c>
      <c r="G42" s="55">
        <v>0</v>
      </c>
      <c r="H42" s="55">
        <v>0</v>
      </c>
      <c r="I42" s="55">
        <v>0</v>
      </c>
      <c r="J42" s="55">
        <v>0</v>
      </c>
      <c r="K42" s="55">
        <v>0</v>
      </c>
      <c r="L42" s="55">
        <v>0</v>
      </c>
      <c r="M42" s="55">
        <v>0</v>
      </c>
    </row>
    <row r="43" spans="1:13">
      <c r="B43" s="5" t="s">
        <v>419</v>
      </c>
      <c r="C43" s="153">
        <f t="shared" si="5"/>
        <v>0</v>
      </c>
      <c r="D43" s="55">
        <v>0</v>
      </c>
      <c r="E43" s="55">
        <v>0</v>
      </c>
      <c r="F43" s="55">
        <v>0</v>
      </c>
      <c r="G43" s="55">
        <v>0</v>
      </c>
      <c r="H43" s="55">
        <v>0</v>
      </c>
      <c r="I43" s="55">
        <v>0</v>
      </c>
      <c r="J43" s="55">
        <v>0</v>
      </c>
      <c r="K43" s="55">
        <v>0</v>
      </c>
      <c r="L43" s="55">
        <v>0</v>
      </c>
      <c r="M43" s="55">
        <v>0</v>
      </c>
    </row>
    <row r="44" spans="1:13">
      <c r="B44" s="5" t="s">
        <v>420</v>
      </c>
      <c r="C44" s="153">
        <f t="shared" si="5"/>
        <v>0</v>
      </c>
      <c r="D44" s="55">
        <v>0</v>
      </c>
      <c r="E44" s="55">
        <v>0</v>
      </c>
      <c r="F44" s="55">
        <v>0</v>
      </c>
      <c r="G44" s="55">
        <v>0</v>
      </c>
      <c r="H44" s="55">
        <v>0</v>
      </c>
      <c r="I44" s="55">
        <v>0</v>
      </c>
      <c r="J44" s="55">
        <v>0</v>
      </c>
      <c r="K44" s="55">
        <v>0</v>
      </c>
      <c r="L44" s="55">
        <v>0</v>
      </c>
      <c r="M44" s="55">
        <v>0</v>
      </c>
    </row>
    <row r="45" spans="1:13">
      <c r="B45" s="5" t="s">
        <v>421</v>
      </c>
      <c r="C45" s="153">
        <f t="shared" si="5"/>
        <v>0</v>
      </c>
      <c r="D45" s="55">
        <v>0</v>
      </c>
      <c r="E45" s="55">
        <v>0</v>
      </c>
      <c r="F45" s="55">
        <v>0</v>
      </c>
      <c r="G45" s="55">
        <v>0</v>
      </c>
      <c r="H45" s="55">
        <v>0</v>
      </c>
      <c r="I45" s="55">
        <v>0</v>
      </c>
      <c r="J45" s="55">
        <v>0</v>
      </c>
      <c r="K45" s="55">
        <v>0</v>
      </c>
      <c r="L45" s="55">
        <v>0</v>
      </c>
      <c r="M45" s="55">
        <v>0</v>
      </c>
    </row>
    <row r="46" spans="1:13">
      <c r="B46" s="5" t="s">
        <v>422</v>
      </c>
      <c r="C46" s="153">
        <f t="shared" si="5"/>
        <v>0</v>
      </c>
      <c r="D46" s="55">
        <v>0</v>
      </c>
      <c r="E46" s="55">
        <v>0</v>
      </c>
      <c r="F46" s="55">
        <v>0</v>
      </c>
      <c r="G46" s="55">
        <v>0</v>
      </c>
      <c r="H46" s="55">
        <v>0</v>
      </c>
      <c r="I46" s="55">
        <v>0</v>
      </c>
      <c r="J46" s="55">
        <v>0</v>
      </c>
      <c r="K46" s="55">
        <v>0</v>
      </c>
      <c r="L46" s="55">
        <v>0</v>
      </c>
      <c r="M46" s="55">
        <v>0</v>
      </c>
    </row>
    <row r="47" spans="1:13">
      <c r="B47" s="5" t="s">
        <v>423</v>
      </c>
      <c r="C47" s="153">
        <f>SUM(D47:M47)</f>
        <v>0</v>
      </c>
      <c r="D47" s="55">
        <v>0</v>
      </c>
      <c r="E47" s="55">
        <v>0</v>
      </c>
      <c r="F47" s="55">
        <v>0</v>
      </c>
      <c r="G47" s="55">
        <v>0</v>
      </c>
      <c r="H47" s="55">
        <v>0</v>
      </c>
      <c r="I47" s="55">
        <v>0</v>
      </c>
      <c r="J47" s="55">
        <v>0</v>
      </c>
      <c r="K47" s="55">
        <v>0</v>
      </c>
      <c r="L47" s="55">
        <v>0</v>
      </c>
      <c r="M47" s="55">
        <v>0</v>
      </c>
    </row>
    <row r="48" spans="1:13">
      <c r="B48" s="5" t="s">
        <v>424</v>
      </c>
      <c r="C48" s="153">
        <f t="shared" si="5"/>
        <v>0</v>
      </c>
      <c r="D48" s="55">
        <v>0</v>
      </c>
      <c r="E48" s="55">
        <v>0</v>
      </c>
      <c r="F48" s="55">
        <v>0</v>
      </c>
      <c r="G48" s="55">
        <v>0</v>
      </c>
      <c r="H48" s="55">
        <v>0</v>
      </c>
      <c r="I48" s="55">
        <v>0</v>
      </c>
      <c r="J48" s="55">
        <v>0</v>
      </c>
      <c r="K48" s="55">
        <v>0</v>
      </c>
      <c r="L48" s="55">
        <v>0</v>
      </c>
      <c r="M48" s="55">
        <v>0</v>
      </c>
    </row>
    <row r="49" spans="2:13">
      <c r="B49" s="5" t="s">
        <v>425</v>
      </c>
      <c r="C49" s="153">
        <f t="shared" si="5"/>
        <v>0</v>
      </c>
      <c r="D49" s="55">
        <v>0</v>
      </c>
      <c r="E49" s="55">
        <v>0</v>
      </c>
      <c r="F49" s="55">
        <v>0</v>
      </c>
      <c r="G49" s="55">
        <v>0</v>
      </c>
      <c r="H49" s="55">
        <v>0</v>
      </c>
      <c r="I49" s="55">
        <v>0</v>
      </c>
      <c r="J49" s="55">
        <v>0</v>
      </c>
      <c r="K49" s="55">
        <v>0</v>
      </c>
      <c r="L49" s="55">
        <v>0</v>
      </c>
      <c r="M49" s="55">
        <v>0</v>
      </c>
    </row>
    <row r="50" spans="2:13">
      <c r="B50" s="5" t="s">
        <v>426</v>
      </c>
      <c r="C50" s="153">
        <f t="shared" si="5"/>
        <v>0</v>
      </c>
      <c r="D50" s="55">
        <v>0</v>
      </c>
      <c r="E50" s="55">
        <v>0</v>
      </c>
      <c r="F50" s="55">
        <v>0</v>
      </c>
      <c r="G50" s="55">
        <v>0</v>
      </c>
      <c r="H50" s="55">
        <v>0</v>
      </c>
      <c r="I50" s="55">
        <v>0</v>
      </c>
      <c r="J50" s="55">
        <v>0</v>
      </c>
      <c r="K50" s="55">
        <v>0</v>
      </c>
      <c r="L50" s="55">
        <v>0</v>
      </c>
      <c r="M50" s="55">
        <v>0</v>
      </c>
    </row>
    <row r="51" spans="2:13">
      <c r="B51" s="5" t="s">
        <v>427</v>
      </c>
      <c r="C51" s="153">
        <f t="shared" si="5"/>
        <v>0</v>
      </c>
      <c r="D51" s="55">
        <v>0</v>
      </c>
      <c r="E51" s="55">
        <v>0</v>
      </c>
      <c r="F51" s="55">
        <v>0</v>
      </c>
      <c r="G51" s="55">
        <v>0</v>
      </c>
      <c r="H51" s="55">
        <v>0</v>
      </c>
      <c r="I51" s="55">
        <v>0</v>
      </c>
      <c r="J51" s="55">
        <v>0</v>
      </c>
      <c r="K51" s="55">
        <v>0</v>
      </c>
      <c r="L51" s="55">
        <v>0</v>
      </c>
      <c r="M51" s="55">
        <v>0</v>
      </c>
    </row>
    <row r="52" spans="2:13">
      <c r="B52" s="5" t="s">
        <v>428</v>
      </c>
      <c r="C52" s="153">
        <f t="shared" si="5"/>
        <v>0</v>
      </c>
      <c r="D52" s="55">
        <v>0</v>
      </c>
      <c r="E52" s="55">
        <v>0</v>
      </c>
      <c r="F52" s="55">
        <v>0</v>
      </c>
      <c r="G52" s="55">
        <v>0</v>
      </c>
      <c r="H52" s="55">
        <v>0</v>
      </c>
      <c r="I52" s="55">
        <v>0</v>
      </c>
      <c r="J52" s="55">
        <v>0</v>
      </c>
      <c r="K52" s="55">
        <v>0</v>
      </c>
      <c r="L52" s="55">
        <v>0</v>
      </c>
      <c r="M52" s="55">
        <v>0</v>
      </c>
    </row>
    <row r="53" spans="2:13">
      <c r="B53" s="5" t="s">
        <v>429</v>
      </c>
      <c r="C53" s="153">
        <f t="shared" si="5"/>
        <v>0</v>
      </c>
      <c r="D53" s="55">
        <v>0</v>
      </c>
      <c r="E53" s="55">
        <v>0</v>
      </c>
      <c r="F53" s="55">
        <v>0</v>
      </c>
      <c r="G53" s="55">
        <v>0</v>
      </c>
      <c r="H53" s="55">
        <v>0</v>
      </c>
      <c r="I53" s="55">
        <v>0</v>
      </c>
      <c r="J53" s="55">
        <v>0</v>
      </c>
      <c r="K53" s="55">
        <v>0</v>
      </c>
      <c r="L53" s="55">
        <v>0</v>
      </c>
      <c r="M53" s="55">
        <v>0</v>
      </c>
    </row>
    <row r="54" spans="2:13">
      <c r="B54" s="5" t="s">
        <v>430</v>
      </c>
      <c r="C54" s="153">
        <f t="shared" si="5"/>
        <v>0</v>
      </c>
      <c r="D54" s="55">
        <v>0</v>
      </c>
      <c r="E54" s="55">
        <v>0</v>
      </c>
      <c r="F54" s="55">
        <v>0</v>
      </c>
      <c r="G54" s="55">
        <v>0</v>
      </c>
      <c r="H54" s="55">
        <v>0</v>
      </c>
      <c r="I54" s="55">
        <v>0</v>
      </c>
      <c r="J54" s="55">
        <v>0</v>
      </c>
      <c r="K54" s="55">
        <v>0</v>
      </c>
      <c r="L54" s="55">
        <v>0</v>
      </c>
      <c r="M54" s="55">
        <v>0</v>
      </c>
    </row>
    <row r="55" spans="2:13">
      <c r="B55" s="5" t="s">
        <v>156</v>
      </c>
      <c r="C55" s="153">
        <f t="shared" si="5"/>
        <v>0</v>
      </c>
      <c r="D55" s="55">
        <v>0</v>
      </c>
      <c r="E55" s="55">
        <v>0</v>
      </c>
      <c r="F55" s="55">
        <v>0</v>
      </c>
      <c r="G55" s="55">
        <v>0</v>
      </c>
      <c r="H55" s="55">
        <v>0</v>
      </c>
      <c r="I55" s="55">
        <v>0</v>
      </c>
      <c r="J55" s="55">
        <v>0</v>
      </c>
      <c r="K55" s="55">
        <v>0</v>
      </c>
      <c r="L55" s="55">
        <v>0</v>
      </c>
      <c r="M55" s="55">
        <v>0</v>
      </c>
    </row>
    <row r="56" spans="2:13">
      <c r="B56" s="5" t="s">
        <v>431</v>
      </c>
      <c r="C56" s="153">
        <f t="shared" si="5"/>
        <v>0</v>
      </c>
      <c r="D56" s="55">
        <v>0</v>
      </c>
      <c r="E56" s="55">
        <v>0</v>
      </c>
      <c r="F56" s="55">
        <v>0</v>
      </c>
      <c r="G56" s="55">
        <v>0</v>
      </c>
      <c r="H56" s="55">
        <v>0</v>
      </c>
      <c r="I56" s="55">
        <v>0</v>
      </c>
      <c r="J56" s="55">
        <v>0</v>
      </c>
      <c r="K56" s="55">
        <v>0</v>
      </c>
      <c r="L56" s="55">
        <v>0</v>
      </c>
      <c r="M56" s="55">
        <v>0</v>
      </c>
    </row>
    <row r="57" spans="2:13">
      <c r="B57" s="5" t="s">
        <v>432</v>
      </c>
      <c r="C57" s="153">
        <f t="shared" si="5"/>
        <v>0</v>
      </c>
      <c r="D57" s="55">
        <v>0</v>
      </c>
      <c r="E57" s="55">
        <v>0</v>
      </c>
      <c r="F57" s="55">
        <v>0</v>
      </c>
      <c r="G57" s="55">
        <v>0</v>
      </c>
      <c r="H57" s="55">
        <v>0</v>
      </c>
      <c r="I57" s="55">
        <v>0</v>
      </c>
      <c r="J57" s="55">
        <v>0</v>
      </c>
      <c r="K57" s="55">
        <v>0</v>
      </c>
      <c r="L57" s="55">
        <v>0</v>
      </c>
      <c r="M57" s="55">
        <v>0</v>
      </c>
    </row>
    <row r="58" spans="2:13" ht="14.4" outlineLevel="1">
      <c r="B58" s="790" t="s">
        <v>347</v>
      </c>
      <c r="C58" s="153">
        <f t="shared" si="5"/>
        <v>0</v>
      </c>
      <c r="D58" s="55">
        <v>0</v>
      </c>
      <c r="E58" s="55">
        <v>0</v>
      </c>
      <c r="F58" s="55">
        <v>0</v>
      </c>
      <c r="G58" s="55">
        <v>0</v>
      </c>
      <c r="H58" s="55">
        <v>0</v>
      </c>
      <c r="I58" s="55">
        <v>0</v>
      </c>
      <c r="J58" s="55">
        <v>0</v>
      </c>
      <c r="K58" s="55">
        <v>0</v>
      </c>
      <c r="L58" s="55">
        <v>0</v>
      </c>
      <c r="M58" s="55">
        <v>0</v>
      </c>
    </row>
    <row r="59" spans="2:13" ht="14.4" outlineLevel="1">
      <c r="B59" s="790" t="s">
        <v>347</v>
      </c>
      <c r="C59" s="153">
        <f t="shared" si="5"/>
        <v>0</v>
      </c>
      <c r="D59" s="55">
        <v>0</v>
      </c>
      <c r="E59" s="55">
        <v>0</v>
      </c>
      <c r="F59" s="55">
        <v>0</v>
      </c>
      <c r="G59" s="55">
        <v>0</v>
      </c>
      <c r="H59" s="55">
        <v>0</v>
      </c>
      <c r="I59" s="55">
        <v>0</v>
      </c>
      <c r="J59" s="55">
        <v>0</v>
      </c>
      <c r="K59" s="55">
        <v>0</v>
      </c>
      <c r="L59" s="55">
        <v>0</v>
      </c>
      <c r="M59" s="55">
        <v>0</v>
      </c>
    </row>
    <row r="60" spans="2:13" ht="14.4" outlineLevel="1">
      <c r="B60" s="790" t="s">
        <v>347</v>
      </c>
      <c r="C60" s="153">
        <f t="shared" si="5"/>
        <v>0</v>
      </c>
      <c r="D60" s="55">
        <v>0</v>
      </c>
      <c r="E60" s="55">
        <v>0</v>
      </c>
      <c r="F60" s="55">
        <v>0</v>
      </c>
      <c r="G60" s="55">
        <v>0</v>
      </c>
      <c r="H60" s="55">
        <v>0</v>
      </c>
      <c r="I60" s="55">
        <v>0</v>
      </c>
      <c r="J60" s="55">
        <v>0</v>
      </c>
      <c r="K60" s="55">
        <v>0</v>
      </c>
      <c r="L60" s="55">
        <v>0</v>
      </c>
      <c r="M60" s="55">
        <v>0</v>
      </c>
    </row>
    <row r="61" spans="2:13" ht="14.4" outlineLevel="1">
      <c r="B61" s="790" t="s">
        <v>347</v>
      </c>
      <c r="C61" s="153">
        <f t="shared" si="5"/>
        <v>0</v>
      </c>
      <c r="D61" s="55">
        <v>0</v>
      </c>
      <c r="E61" s="55">
        <v>0</v>
      </c>
      <c r="F61" s="55">
        <v>0</v>
      </c>
      <c r="G61" s="55">
        <v>0</v>
      </c>
      <c r="H61" s="55">
        <v>0</v>
      </c>
      <c r="I61" s="55">
        <v>0</v>
      </c>
      <c r="J61" s="55">
        <v>0</v>
      </c>
      <c r="K61" s="55">
        <v>0</v>
      </c>
      <c r="L61" s="55">
        <v>0</v>
      </c>
      <c r="M61" s="55">
        <v>0</v>
      </c>
    </row>
    <row r="62" spans="2:13" ht="14.4" outlineLevel="1">
      <c r="B62" s="790" t="s">
        <v>347</v>
      </c>
      <c r="C62" s="153">
        <f t="shared" si="5"/>
        <v>0</v>
      </c>
      <c r="D62" s="55">
        <v>0</v>
      </c>
      <c r="E62" s="55">
        <v>0</v>
      </c>
      <c r="F62" s="55">
        <v>0</v>
      </c>
      <c r="G62" s="55">
        <v>0</v>
      </c>
      <c r="H62" s="55">
        <v>0</v>
      </c>
      <c r="I62" s="55">
        <v>0</v>
      </c>
      <c r="J62" s="55">
        <v>0</v>
      </c>
      <c r="K62" s="55">
        <v>0</v>
      </c>
      <c r="L62" s="55">
        <v>0</v>
      </c>
      <c r="M62" s="55">
        <v>0</v>
      </c>
    </row>
    <row r="63" spans="2:13" ht="14.4" outlineLevel="1">
      <c r="B63" s="790" t="s">
        <v>347</v>
      </c>
      <c r="C63" s="153">
        <f t="shared" si="5"/>
        <v>0</v>
      </c>
      <c r="D63" s="55">
        <v>0</v>
      </c>
      <c r="E63" s="55">
        <v>0</v>
      </c>
      <c r="F63" s="55">
        <v>0</v>
      </c>
      <c r="G63" s="55">
        <v>0</v>
      </c>
      <c r="H63" s="55">
        <v>0</v>
      </c>
      <c r="I63" s="55">
        <v>0</v>
      </c>
      <c r="J63" s="55">
        <v>0</v>
      </c>
      <c r="K63" s="55">
        <v>0</v>
      </c>
      <c r="L63" s="55">
        <v>0</v>
      </c>
      <c r="M63" s="55">
        <v>0</v>
      </c>
    </row>
    <row r="64" spans="2:13" ht="14.4" outlineLevel="1">
      <c r="B64" s="790" t="s">
        <v>347</v>
      </c>
      <c r="C64" s="153">
        <f t="shared" si="5"/>
        <v>0</v>
      </c>
      <c r="D64" s="55">
        <v>0</v>
      </c>
      <c r="E64" s="55">
        <v>0</v>
      </c>
      <c r="F64" s="55">
        <v>0</v>
      </c>
      <c r="G64" s="55">
        <v>0</v>
      </c>
      <c r="H64" s="55">
        <v>0</v>
      </c>
      <c r="I64" s="55">
        <v>0</v>
      </c>
      <c r="J64" s="55">
        <v>0</v>
      </c>
      <c r="K64" s="55">
        <v>0</v>
      </c>
      <c r="L64" s="55">
        <v>0</v>
      </c>
      <c r="M64" s="55">
        <v>0</v>
      </c>
    </row>
    <row r="65" spans="1:13" ht="14.4" outlineLevel="1">
      <c r="B65" s="790" t="s">
        <v>347</v>
      </c>
      <c r="C65" s="153">
        <f t="shared" si="5"/>
        <v>0</v>
      </c>
      <c r="D65" s="55">
        <v>0</v>
      </c>
      <c r="E65" s="55">
        <v>0</v>
      </c>
      <c r="F65" s="55">
        <v>0</v>
      </c>
      <c r="G65" s="55">
        <v>0</v>
      </c>
      <c r="H65" s="55">
        <v>0</v>
      </c>
      <c r="I65" s="55">
        <v>0</v>
      </c>
      <c r="J65" s="55">
        <v>0</v>
      </c>
      <c r="K65" s="55">
        <v>0</v>
      </c>
      <c r="L65" s="55">
        <v>0</v>
      </c>
      <c r="M65" s="55">
        <v>0</v>
      </c>
    </row>
    <row r="66" spans="1:13" ht="14.4">
      <c r="A66" s="42"/>
      <c r="B66" s="13" t="s">
        <v>433</v>
      </c>
      <c r="C66" s="155">
        <f>SUM(C36:C65)</f>
        <v>0</v>
      </c>
      <c r="D66" s="141">
        <f t="shared" ref="D66:M66" si="6">SUM(D36:D65)</f>
        <v>0</v>
      </c>
      <c r="E66" s="141">
        <f t="shared" si="6"/>
        <v>0</v>
      </c>
      <c r="F66" s="141">
        <f t="shared" si="6"/>
        <v>0</v>
      </c>
      <c r="G66" s="141">
        <f t="shared" si="6"/>
        <v>0</v>
      </c>
      <c r="H66" s="141">
        <f t="shared" si="6"/>
        <v>0</v>
      </c>
      <c r="I66" s="141">
        <f t="shared" si="6"/>
        <v>0</v>
      </c>
      <c r="J66" s="141">
        <f t="shared" si="6"/>
        <v>0</v>
      </c>
      <c r="K66" s="141">
        <f t="shared" si="6"/>
        <v>0</v>
      </c>
      <c r="L66" s="141">
        <f t="shared" si="6"/>
        <v>0</v>
      </c>
      <c r="M66" s="141">
        <f t="shared" si="6"/>
        <v>0</v>
      </c>
    </row>
    <row r="67" spans="1:13">
      <c r="B67" s="16" t="s">
        <v>434</v>
      </c>
      <c r="C67" s="303"/>
      <c r="D67" s="16"/>
      <c r="E67" s="16"/>
      <c r="F67" s="16"/>
      <c r="G67" s="16"/>
      <c r="H67" s="16"/>
      <c r="I67" s="16"/>
      <c r="J67" s="16"/>
      <c r="K67" s="16"/>
      <c r="L67" s="16"/>
      <c r="M67" s="16"/>
    </row>
    <row r="68" spans="1:13">
      <c r="B68" s="5" t="s">
        <v>435</v>
      </c>
      <c r="C68" s="153">
        <f t="shared" ref="C68:C74" si="7">SUM(D68:M68)</f>
        <v>0</v>
      </c>
      <c r="D68" s="55">
        <v>0</v>
      </c>
      <c r="E68" s="55">
        <v>0</v>
      </c>
      <c r="F68" s="55">
        <v>0</v>
      </c>
      <c r="G68" s="55">
        <v>0</v>
      </c>
      <c r="H68" s="55">
        <v>0</v>
      </c>
      <c r="I68" s="55">
        <v>0</v>
      </c>
      <c r="J68" s="55">
        <v>0</v>
      </c>
      <c r="K68" s="55">
        <v>0</v>
      </c>
      <c r="L68" s="55">
        <v>0</v>
      </c>
      <c r="M68" s="55">
        <v>0</v>
      </c>
    </row>
    <row r="69" spans="1:13">
      <c r="B69" s="5" t="s">
        <v>436</v>
      </c>
      <c r="C69" s="153">
        <f t="shared" si="7"/>
        <v>0</v>
      </c>
      <c r="D69" s="55">
        <v>0</v>
      </c>
      <c r="E69" s="55">
        <v>0</v>
      </c>
      <c r="F69" s="55">
        <v>0</v>
      </c>
      <c r="G69" s="55">
        <v>0</v>
      </c>
      <c r="H69" s="55">
        <v>0</v>
      </c>
      <c r="I69" s="55">
        <v>0</v>
      </c>
      <c r="J69" s="55">
        <v>0</v>
      </c>
      <c r="K69" s="55">
        <v>0</v>
      </c>
      <c r="L69" s="55">
        <v>0</v>
      </c>
      <c r="M69" s="55">
        <v>0</v>
      </c>
    </row>
    <row r="70" spans="1:13">
      <c r="B70" s="5" t="s">
        <v>437</v>
      </c>
      <c r="C70" s="153">
        <f t="shared" si="7"/>
        <v>0</v>
      </c>
      <c r="D70" s="55">
        <v>0</v>
      </c>
      <c r="E70" s="55">
        <v>0</v>
      </c>
      <c r="F70" s="55">
        <v>0</v>
      </c>
      <c r="G70" s="55">
        <v>0</v>
      </c>
      <c r="H70" s="55">
        <v>0</v>
      </c>
      <c r="I70" s="55">
        <v>0</v>
      </c>
      <c r="J70" s="55">
        <v>0</v>
      </c>
      <c r="K70" s="55">
        <v>0</v>
      </c>
      <c r="L70" s="55">
        <v>0</v>
      </c>
      <c r="M70" s="55">
        <v>0</v>
      </c>
    </row>
    <row r="71" spans="1:13">
      <c r="B71" s="5" t="s">
        <v>438</v>
      </c>
      <c r="C71" s="153">
        <f t="shared" si="7"/>
        <v>0</v>
      </c>
      <c r="D71" s="55">
        <v>0</v>
      </c>
      <c r="E71" s="55">
        <v>0</v>
      </c>
      <c r="F71" s="55">
        <v>0</v>
      </c>
      <c r="G71" s="55">
        <v>0</v>
      </c>
      <c r="H71" s="55">
        <v>0</v>
      </c>
      <c r="I71" s="55">
        <v>0</v>
      </c>
      <c r="J71" s="55">
        <v>0</v>
      </c>
      <c r="K71" s="55">
        <v>0</v>
      </c>
      <c r="L71" s="55">
        <v>0</v>
      </c>
      <c r="M71" s="55">
        <v>0</v>
      </c>
    </row>
    <row r="72" spans="1:13" ht="14.4" outlineLevel="1">
      <c r="B72" s="790" t="s">
        <v>347</v>
      </c>
      <c r="C72" s="153">
        <f t="shared" si="7"/>
        <v>0</v>
      </c>
      <c r="D72" s="55">
        <v>0</v>
      </c>
      <c r="E72" s="55">
        <v>0</v>
      </c>
      <c r="F72" s="55">
        <v>0</v>
      </c>
      <c r="G72" s="55">
        <v>0</v>
      </c>
      <c r="H72" s="55">
        <v>0</v>
      </c>
      <c r="I72" s="55">
        <v>0</v>
      </c>
      <c r="J72" s="55">
        <v>0</v>
      </c>
      <c r="K72" s="55">
        <v>0</v>
      </c>
      <c r="L72" s="55">
        <v>0</v>
      </c>
      <c r="M72" s="55">
        <v>0</v>
      </c>
    </row>
    <row r="73" spans="1:13" ht="14.4" outlineLevel="1">
      <c r="B73" s="790" t="s">
        <v>347</v>
      </c>
      <c r="C73" s="153">
        <f t="shared" si="7"/>
        <v>0</v>
      </c>
      <c r="D73" s="55">
        <v>0</v>
      </c>
      <c r="E73" s="55">
        <v>0</v>
      </c>
      <c r="F73" s="55">
        <v>0</v>
      </c>
      <c r="G73" s="55">
        <v>0</v>
      </c>
      <c r="H73" s="55">
        <v>0</v>
      </c>
      <c r="I73" s="55">
        <v>0</v>
      </c>
      <c r="J73" s="55">
        <v>0</v>
      </c>
      <c r="K73" s="55">
        <v>0</v>
      </c>
      <c r="L73" s="55">
        <v>0</v>
      </c>
      <c r="M73" s="55">
        <v>0</v>
      </c>
    </row>
    <row r="74" spans="1:13" ht="14.4" outlineLevel="1">
      <c r="B74" s="790" t="s">
        <v>347</v>
      </c>
      <c r="C74" s="153">
        <f t="shared" si="7"/>
        <v>0</v>
      </c>
      <c r="D74" s="55">
        <v>0</v>
      </c>
      <c r="E74" s="55">
        <v>0</v>
      </c>
      <c r="F74" s="55">
        <v>0</v>
      </c>
      <c r="G74" s="55">
        <v>0</v>
      </c>
      <c r="H74" s="55">
        <v>0</v>
      </c>
      <c r="I74" s="55">
        <v>0</v>
      </c>
      <c r="J74" s="55">
        <v>0</v>
      </c>
      <c r="K74" s="55">
        <v>0</v>
      </c>
      <c r="L74" s="55">
        <v>0</v>
      </c>
      <c r="M74" s="55">
        <v>0</v>
      </c>
    </row>
    <row r="75" spans="1:13" ht="14.4">
      <c r="A75" s="42"/>
      <c r="B75" s="13" t="s">
        <v>439</v>
      </c>
      <c r="C75" s="155">
        <f>SUM(C68:C74)</f>
        <v>0</v>
      </c>
      <c r="D75" s="141">
        <f>SUM(D68:D74)</f>
        <v>0</v>
      </c>
      <c r="E75" s="141">
        <f>SUM(E68:E74)</f>
        <v>0</v>
      </c>
      <c r="F75" s="141">
        <f>SUM(F68:F74)</f>
        <v>0</v>
      </c>
      <c r="G75" s="141">
        <f t="shared" ref="G75:L75" si="8">SUM(G68:G74)</f>
        <v>0</v>
      </c>
      <c r="H75" s="141">
        <f t="shared" si="8"/>
        <v>0</v>
      </c>
      <c r="I75" s="141">
        <f t="shared" si="8"/>
        <v>0</v>
      </c>
      <c r="J75" s="141">
        <f t="shared" si="8"/>
        <v>0</v>
      </c>
      <c r="K75" s="141">
        <f t="shared" si="8"/>
        <v>0</v>
      </c>
      <c r="L75" s="141">
        <f t="shared" si="8"/>
        <v>0</v>
      </c>
      <c r="M75" s="141">
        <f>SUM(M68:M74)</f>
        <v>0</v>
      </c>
    </row>
    <row r="76" spans="1:13">
      <c r="B76" s="16" t="s">
        <v>440</v>
      </c>
      <c r="C76" s="304"/>
      <c r="D76" s="16"/>
      <c r="E76" s="16"/>
      <c r="F76" s="16"/>
      <c r="G76" s="16"/>
      <c r="H76" s="16"/>
      <c r="I76" s="16"/>
      <c r="J76" s="16"/>
      <c r="K76" s="16"/>
      <c r="L76" s="16"/>
      <c r="M76" s="16"/>
    </row>
    <row r="77" spans="1:13">
      <c r="B77" s="5" t="s">
        <v>441</v>
      </c>
      <c r="C77" s="153">
        <f>SUM(D77:M77)</f>
        <v>0</v>
      </c>
      <c r="D77" s="55">
        <v>0</v>
      </c>
      <c r="E77" s="55">
        <v>0</v>
      </c>
      <c r="F77" s="55">
        <v>0</v>
      </c>
      <c r="G77" s="55">
        <v>0</v>
      </c>
      <c r="H77" s="55">
        <v>0</v>
      </c>
      <c r="I77" s="55">
        <v>0</v>
      </c>
      <c r="J77" s="55">
        <v>0</v>
      </c>
      <c r="K77" s="55">
        <v>0</v>
      </c>
      <c r="L77" s="55">
        <v>0</v>
      </c>
      <c r="M77" s="55">
        <v>0</v>
      </c>
    </row>
    <row r="78" spans="1:13">
      <c r="B78" s="5" t="s">
        <v>442</v>
      </c>
      <c r="C78" s="153">
        <f t="shared" ref="C78:C79" si="9">SUM(D78:M78)</f>
        <v>0</v>
      </c>
      <c r="D78" s="55">
        <v>0</v>
      </c>
      <c r="E78" s="55">
        <v>0</v>
      </c>
      <c r="F78" s="55">
        <v>0</v>
      </c>
      <c r="G78" s="55">
        <v>0</v>
      </c>
      <c r="H78" s="55">
        <v>0</v>
      </c>
      <c r="I78" s="55">
        <v>0</v>
      </c>
      <c r="J78" s="55">
        <v>0</v>
      </c>
      <c r="K78" s="55">
        <v>0</v>
      </c>
      <c r="L78" s="55">
        <v>0</v>
      </c>
      <c r="M78" s="55">
        <v>0</v>
      </c>
    </row>
    <row r="79" spans="1:13">
      <c r="B79" s="5" t="s">
        <v>443</v>
      </c>
      <c r="C79" s="153">
        <f t="shared" si="9"/>
        <v>0</v>
      </c>
      <c r="D79" s="55">
        <v>0</v>
      </c>
      <c r="E79" s="55">
        <v>0</v>
      </c>
      <c r="F79" s="55">
        <v>0</v>
      </c>
      <c r="G79" s="55">
        <v>0</v>
      </c>
      <c r="H79" s="55">
        <v>0</v>
      </c>
      <c r="I79" s="55">
        <v>0</v>
      </c>
      <c r="J79" s="55">
        <v>0</v>
      </c>
      <c r="K79" s="55">
        <v>0</v>
      </c>
      <c r="L79" s="55">
        <v>0</v>
      </c>
      <c r="M79" s="55">
        <v>0</v>
      </c>
    </row>
    <row r="80" spans="1:13" ht="14.4" outlineLevel="1">
      <c r="B80" s="790" t="s">
        <v>347</v>
      </c>
      <c r="C80" s="153">
        <f>SUM(D80:M80)</f>
        <v>0</v>
      </c>
      <c r="D80" s="55">
        <v>0</v>
      </c>
      <c r="E80" s="55">
        <v>0</v>
      </c>
      <c r="F80" s="55">
        <v>0</v>
      </c>
      <c r="G80" s="55">
        <v>0</v>
      </c>
      <c r="H80" s="55">
        <v>0</v>
      </c>
      <c r="I80" s="55">
        <v>0</v>
      </c>
      <c r="J80" s="55">
        <v>0</v>
      </c>
      <c r="K80" s="55">
        <v>0</v>
      </c>
      <c r="L80" s="55">
        <v>0</v>
      </c>
      <c r="M80" s="55">
        <v>0</v>
      </c>
    </row>
    <row r="81" spans="1:15" ht="14.4" outlineLevel="1">
      <c r="B81" s="790" t="s">
        <v>347</v>
      </c>
      <c r="C81" s="153">
        <f t="shared" ref="C81" si="10">SUM(D81:M81)</f>
        <v>0</v>
      </c>
      <c r="D81" s="55">
        <v>0</v>
      </c>
      <c r="E81" s="55">
        <v>0</v>
      </c>
      <c r="F81" s="55">
        <v>0</v>
      </c>
      <c r="G81" s="55">
        <v>0</v>
      </c>
      <c r="H81" s="55">
        <v>0</v>
      </c>
      <c r="I81" s="55">
        <v>0</v>
      </c>
      <c r="J81" s="55">
        <v>0</v>
      </c>
      <c r="K81" s="55">
        <v>0</v>
      </c>
      <c r="L81" s="55">
        <v>0</v>
      </c>
      <c r="M81" s="55">
        <v>0</v>
      </c>
    </row>
    <row r="82" spans="1:15" ht="14.4" outlineLevel="1">
      <c r="B82" s="790" t="s">
        <v>347</v>
      </c>
      <c r="C82" s="153">
        <f>SUM(D82:M82)</f>
        <v>0</v>
      </c>
      <c r="D82" s="55">
        <v>0</v>
      </c>
      <c r="E82" s="55">
        <v>0</v>
      </c>
      <c r="F82" s="55">
        <v>0</v>
      </c>
      <c r="G82" s="55">
        <v>0</v>
      </c>
      <c r="H82" s="55">
        <v>0</v>
      </c>
      <c r="I82" s="55">
        <v>0</v>
      </c>
      <c r="J82" s="55">
        <v>0</v>
      </c>
      <c r="K82" s="55">
        <v>0</v>
      </c>
      <c r="L82" s="55">
        <v>0</v>
      </c>
      <c r="M82" s="55">
        <v>0</v>
      </c>
    </row>
    <row r="83" spans="1:15" ht="14.4">
      <c r="A83" s="42"/>
      <c r="B83" s="13" t="s">
        <v>444</v>
      </c>
      <c r="C83" s="155">
        <f>SUM(C77:C82)</f>
        <v>0</v>
      </c>
      <c r="D83" s="141">
        <f>SUM(D77:D82)</f>
        <v>0</v>
      </c>
      <c r="E83" s="141">
        <f t="shared" ref="E83:M83" si="11">SUM(E77:E82)</f>
        <v>0</v>
      </c>
      <c r="F83" s="141">
        <f t="shared" si="11"/>
        <v>0</v>
      </c>
      <c r="G83" s="141">
        <f t="shared" si="11"/>
        <v>0</v>
      </c>
      <c r="H83" s="141">
        <f t="shared" si="11"/>
        <v>0</v>
      </c>
      <c r="I83" s="141">
        <f t="shared" si="11"/>
        <v>0</v>
      </c>
      <c r="J83" s="141">
        <f t="shared" si="11"/>
        <v>0</v>
      </c>
      <c r="K83" s="141">
        <f t="shared" si="11"/>
        <v>0</v>
      </c>
      <c r="L83" s="141">
        <f t="shared" si="11"/>
        <v>0</v>
      </c>
      <c r="M83" s="141">
        <f t="shared" si="11"/>
        <v>0</v>
      </c>
    </row>
    <row r="84" spans="1:15">
      <c r="B84" s="16" t="s">
        <v>445</v>
      </c>
      <c r="C84" s="304"/>
      <c r="D84" s="16"/>
      <c r="E84" s="16"/>
      <c r="F84" s="16"/>
      <c r="G84" s="16"/>
      <c r="H84" s="16"/>
      <c r="I84" s="16"/>
      <c r="J84" s="16"/>
      <c r="K84" s="16"/>
      <c r="L84" s="16"/>
      <c r="M84" s="16"/>
    </row>
    <row r="85" spans="1:15">
      <c r="B85" s="5" t="s">
        <v>446</v>
      </c>
      <c r="C85" s="153">
        <f t="shared" ref="C85:C89" si="12">SUM(D85:M85)</f>
        <v>0</v>
      </c>
      <c r="D85" s="55">
        <v>0</v>
      </c>
      <c r="E85" s="55">
        <v>0</v>
      </c>
      <c r="F85" s="55">
        <v>0</v>
      </c>
      <c r="G85" s="55">
        <v>0</v>
      </c>
      <c r="H85" s="55">
        <v>0</v>
      </c>
      <c r="I85" s="55">
        <v>0</v>
      </c>
      <c r="J85" s="55">
        <v>0</v>
      </c>
      <c r="K85" s="55">
        <v>0</v>
      </c>
      <c r="L85" s="55">
        <v>0</v>
      </c>
      <c r="M85" s="55">
        <v>0</v>
      </c>
      <c r="N85" s="9"/>
    </row>
    <row r="86" spans="1:15">
      <c r="B86" s="5" t="s">
        <v>447</v>
      </c>
      <c r="C86" s="153">
        <f t="shared" si="12"/>
        <v>0</v>
      </c>
      <c r="D86" s="55">
        <v>0</v>
      </c>
      <c r="E86" s="55">
        <v>0</v>
      </c>
      <c r="F86" s="55">
        <v>0</v>
      </c>
      <c r="G86" s="55">
        <v>0</v>
      </c>
      <c r="H86" s="55">
        <v>0</v>
      </c>
      <c r="I86" s="55">
        <v>0</v>
      </c>
      <c r="J86" s="55">
        <v>0</v>
      </c>
      <c r="K86" s="55">
        <v>0</v>
      </c>
      <c r="L86" s="55">
        <v>0</v>
      </c>
      <c r="M86" s="55">
        <v>0</v>
      </c>
      <c r="N86" s="9"/>
    </row>
    <row r="87" spans="1:15">
      <c r="B87" s="5" t="s">
        <v>448</v>
      </c>
      <c r="C87" s="153">
        <f t="shared" si="12"/>
        <v>0</v>
      </c>
      <c r="D87" s="55">
        <v>0</v>
      </c>
      <c r="E87" s="55">
        <v>0</v>
      </c>
      <c r="F87" s="55">
        <v>0</v>
      </c>
      <c r="G87" s="55">
        <v>0</v>
      </c>
      <c r="H87" s="55">
        <v>0</v>
      </c>
      <c r="I87" s="55">
        <v>0</v>
      </c>
      <c r="J87" s="55">
        <v>0</v>
      </c>
      <c r="K87" s="55">
        <v>0</v>
      </c>
      <c r="L87" s="55">
        <v>0</v>
      </c>
      <c r="M87" s="55">
        <v>0</v>
      </c>
      <c r="N87" s="9"/>
    </row>
    <row r="88" spans="1:15">
      <c r="B88" s="5" t="s">
        <v>255</v>
      </c>
      <c r="C88" s="153">
        <f t="shared" si="12"/>
        <v>0</v>
      </c>
      <c r="D88" s="55">
        <v>0</v>
      </c>
      <c r="E88" s="55">
        <v>0</v>
      </c>
      <c r="F88" s="55">
        <v>0</v>
      </c>
      <c r="G88" s="55">
        <v>0</v>
      </c>
      <c r="H88" s="55">
        <v>0</v>
      </c>
      <c r="I88" s="55">
        <v>0</v>
      </c>
      <c r="J88" s="55">
        <v>0</v>
      </c>
      <c r="K88" s="55">
        <v>0</v>
      </c>
      <c r="L88" s="55">
        <v>0</v>
      </c>
      <c r="M88" s="55">
        <v>0</v>
      </c>
      <c r="N88" s="9"/>
    </row>
    <row r="89" spans="1:15" ht="14.4" outlineLevel="2">
      <c r="B89" s="790" t="s">
        <v>347</v>
      </c>
      <c r="C89" s="153">
        <f t="shared" si="12"/>
        <v>0</v>
      </c>
      <c r="D89" s="55">
        <v>0</v>
      </c>
      <c r="E89" s="55">
        <v>0</v>
      </c>
      <c r="F89" s="55">
        <v>0</v>
      </c>
      <c r="G89" s="55">
        <v>0</v>
      </c>
      <c r="H89" s="55">
        <v>0</v>
      </c>
      <c r="I89" s="55">
        <v>0</v>
      </c>
      <c r="J89" s="55">
        <v>0</v>
      </c>
      <c r="K89" s="55">
        <v>0</v>
      </c>
      <c r="L89" s="55">
        <v>0</v>
      </c>
      <c r="M89" s="55">
        <v>0</v>
      </c>
      <c r="N89" s="9"/>
    </row>
    <row r="90" spans="1:15" ht="14.4" outlineLevel="2">
      <c r="B90" s="790" t="s">
        <v>347</v>
      </c>
      <c r="C90" s="153">
        <f>SUM(D90:M90)</f>
        <v>0</v>
      </c>
      <c r="D90" s="176">
        <v>0</v>
      </c>
      <c r="E90" s="57">
        <v>0</v>
      </c>
      <c r="F90" s="57">
        <v>0</v>
      </c>
      <c r="G90" s="57">
        <v>0</v>
      </c>
      <c r="H90" s="57">
        <v>0</v>
      </c>
      <c r="I90" s="57">
        <v>0</v>
      </c>
      <c r="J90" s="57">
        <v>0</v>
      </c>
      <c r="K90" s="57">
        <v>0</v>
      </c>
      <c r="L90" s="57">
        <v>0</v>
      </c>
      <c r="M90" s="57">
        <v>0</v>
      </c>
      <c r="N90" s="9"/>
    </row>
    <row r="91" spans="1:15" ht="14.4">
      <c r="A91" s="42"/>
      <c r="B91" s="13" t="s">
        <v>449</v>
      </c>
      <c r="C91" s="156">
        <f>SUM(C85:C90)</f>
        <v>0</v>
      </c>
      <c r="D91" s="106">
        <f t="shared" ref="D91:L91" si="13">SUM(D85:D90)</f>
        <v>0</v>
      </c>
      <c r="E91" s="106">
        <f t="shared" si="13"/>
        <v>0</v>
      </c>
      <c r="F91" s="106">
        <f t="shared" si="13"/>
        <v>0</v>
      </c>
      <c r="G91" s="106">
        <f t="shared" si="13"/>
        <v>0</v>
      </c>
      <c r="H91" s="106">
        <f t="shared" si="13"/>
        <v>0</v>
      </c>
      <c r="I91" s="106">
        <f t="shared" si="13"/>
        <v>0</v>
      </c>
      <c r="J91" s="106">
        <f t="shared" si="13"/>
        <v>0</v>
      </c>
      <c r="K91" s="106">
        <f t="shared" si="13"/>
        <v>0</v>
      </c>
      <c r="L91" s="106">
        <f t="shared" si="13"/>
        <v>0</v>
      </c>
      <c r="M91" s="106">
        <f>SUM(M85:M90)</f>
        <v>0</v>
      </c>
      <c r="N91" s="9"/>
    </row>
    <row r="92" spans="1:15" ht="14.4" thickBot="1">
      <c r="A92" s="42"/>
      <c r="B92" s="17" t="s">
        <v>433</v>
      </c>
      <c r="C92" s="151">
        <f>C91+C83+C75+C66</f>
        <v>0</v>
      </c>
      <c r="D92" s="108">
        <f>D91+D83+D75+D66</f>
        <v>0</v>
      </c>
      <c r="E92" s="108">
        <f t="shared" ref="E92:M92" si="14">E91+E83+E75+E66</f>
        <v>0</v>
      </c>
      <c r="F92" s="108">
        <f t="shared" si="14"/>
        <v>0</v>
      </c>
      <c r="G92" s="108">
        <f t="shared" si="14"/>
        <v>0</v>
      </c>
      <c r="H92" s="108">
        <f t="shared" si="14"/>
        <v>0</v>
      </c>
      <c r="I92" s="108">
        <f t="shared" si="14"/>
        <v>0</v>
      </c>
      <c r="J92" s="108">
        <f t="shared" si="14"/>
        <v>0</v>
      </c>
      <c r="K92" s="108">
        <f t="shared" si="14"/>
        <v>0</v>
      </c>
      <c r="L92" s="108">
        <f t="shared" si="14"/>
        <v>0</v>
      </c>
      <c r="M92" s="108">
        <f t="shared" si="14"/>
        <v>0</v>
      </c>
      <c r="N92" s="9"/>
    </row>
    <row r="93" spans="1:15" ht="14.4" thickTop="1">
      <c r="A93" s="42"/>
      <c r="B93" s="5" t="s">
        <v>450</v>
      </c>
      <c r="C93" s="152">
        <f t="shared" ref="C93:M93" si="15">C92+C33+C13</f>
        <v>0</v>
      </c>
      <c r="D93" s="110">
        <f t="shared" si="15"/>
        <v>0</v>
      </c>
      <c r="E93" s="110">
        <f t="shared" si="15"/>
        <v>0</v>
      </c>
      <c r="F93" s="110">
        <f t="shared" si="15"/>
        <v>0</v>
      </c>
      <c r="G93" s="110">
        <f t="shared" si="15"/>
        <v>0</v>
      </c>
      <c r="H93" s="110">
        <f t="shared" si="15"/>
        <v>0</v>
      </c>
      <c r="I93" s="110">
        <f t="shared" si="15"/>
        <v>0</v>
      </c>
      <c r="J93" s="110">
        <f t="shared" si="15"/>
        <v>0</v>
      </c>
      <c r="K93" s="110">
        <f t="shared" si="15"/>
        <v>0</v>
      </c>
      <c r="L93" s="110">
        <f t="shared" si="15"/>
        <v>0</v>
      </c>
      <c r="M93" s="110">
        <f t="shared" si="15"/>
        <v>0</v>
      </c>
      <c r="N93" s="9"/>
    </row>
    <row r="94" spans="1:15">
      <c r="N94" s="9"/>
    </row>
    <row r="95" spans="1:15">
      <c r="N95" s="9"/>
      <c r="O95" s="9"/>
    </row>
    <row r="100" spans="2:13">
      <c r="B100" s="9"/>
      <c r="C100" s="9"/>
      <c r="D100" s="9"/>
      <c r="E100" s="9"/>
      <c r="F100" s="9"/>
      <c r="G100" s="9"/>
      <c r="H100" s="9"/>
      <c r="I100" s="9"/>
      <c r="J100" s="9"/>
      <c r="K100" s="9"/>
      <c r="L100" s="9"/>
      <c r="M100" s="9"/>
    </row>
    <row r="168" spans="2:13">
      <c r="B168" s="5"/>
      <c r="C168" s="5"/>
      <c r="D168" s="5"/>
      <c r="E168" s="5"/>
      <c r="F168" s="5"/>
      <c r="G168" s="5"/>
      <c r="H168" s="5"/>
      <c r="I168" s="5"/>
      <c r="J168" s="5"/>
      <c r="K168" s="5"/>
      <c r="L168" s="5"/>
      <c r="M168" s="5"/>
    </row>
    <row r="170" spans="2:13">
      <c r="B170" s="5"/>
      <c r="C170" s="5"/>
      <c r="D170" s="5"/>
      <c r="E170" s="5"/>
      <c r="F170" s="5"/>
      <c r="G170" s="5"/>
      <c r="H170" s="5"/>
      <c r="I170" s="5"/>
      <c r="J170" s="5"/>
      <c r="K170" s="5"/>
      <c r="L170" s="5"/>
      <c r="M170" s="5"/>
    </row>
    <row r="171" spans="2:13">
      <c r="C171" s="5"/>
    </row>
    <row r="172" spans="2:13">
      <c r="C172" s="5"/>
    </row>
    <row r="173" spans="2:13">
      <c r="C173" s="5"/>
    </row>
    <row r="174" spans="2:13">
      <c r="C174" s="5"/>
    </row>
    <row r="175" spans="2:13">
      <c r="C175" s="5"/>
    </row>
    <row r="176" spans="2:13">
      <c r="C176" s="5"/>
    </row>
    <row r="177" spans="3:3">
      <c r="C177" s="5"/>
    </row>
  </sheetData>
  <sheetProtection algorithmName="SHA-512" hashValue="sII7P8z0CZ6lXPxfNfkj+6wbbJ5mp/5vvKN9xMM0/GoGfQP7MLEvJNcUC75menPTRmPhbU+S9ZuHqTyThlPVNg==" saltValue="qjOqX9ctd7EKDXO0NshxfA==" spinCount="100000" sheet="1" formatCells="0" formatColumns="0" formatRows="0"/>
  <dataConsolidate/>
  <pageMargins left="0.75" right="0.75" top="1" bottom="1" header="0.5" footer="0.5"/>
  <pageSetup scale="40" orientation="landscape" r:id="rId1"/>
  <headerFooter alignWithMargins="0">
    <oddFooter>&amp;L&amp;F
&amp;D&amp;T&amp;R&amp;"Times New Roman,Regular"&amp;8revision date:  8/6/2007</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pageSetUpPr autoPageBreaks="0" fitToPage="1"/>
  </sheetPr>
  <dimension ref="A1:AV185"/>
  <sheetViews>
    <sheetView zoomScaleNormal="100" zoomScaleSheetLayoutView="90" workbookViewId="0"/>
  </sheetViews>
  <sheetFormatPr defaultColWidth="19.1640625" defaultRowHeight="13.8" outlineLevelRow="1" outlineLevelCol="1"/>
  <cols>
    <col min="1" max="1" width="8" style="584" customWidth="1"/>
    <col min="2" max="2" width="35.25" style="584" bestFit="1" customWidth="1"/>
    <col min="3" max="3" width="18.1640625" style="584" customWidth="1"/>
    <col min="4" max="5" width="15.58203125" style="584" customWidth="1"/>
    <col min="6" max="6" width="8.58203125" style="584" customWidth="1"/>
    <col min="7" max="7" width="8.58203125" style="664" customWidth="1"/>
    <col min="8" max="9" width="12.25" style="584" customWidth="1" outlineLevel="1"/>
    <col min="10" max="10" width="12.58203125" style="584" customWidth="1" outlineLevel="1"/>
    <col min="11" max="11" width="12.25" style="584" customWidth="1" outlineLevel="1"/>
    <col min="12" max="12" width="12.58203125" style="584" customWidth="1"/>
    <col min="13" max="15" width="12.25" style="584" customWidth="1" outlineLevel="1"/>
    <col min="16" max="21" width="12.58203125" style="584" customWidth="1"/>
    <col min="22" max="22" width="10.75" style="584" customWidth="1"/>
    <col min="23" max="23" width="11.75" style="584" customWidth="1"/>
    <col min="24" max="33" width="12.4140625" style="584" customWidth="1" outlineLevel="1"/>
    <col min="34" max="36" width="10.75" style="584" customWidth="1"/>
    <col min="37" max="37" width="11.4140625" style="584" customWidth="1"/>
    <col min="38" max="38" width="11.1640625" style="584" customWidth="1"/>
    <col min="39" max="39" width="12.4140625" style="584" customWidth="1"/>
    <col min="40" max="44" width="12.4140625" style="584" customWidth="1" outlineLevel="1"/>
    <col min="45" max="45" width="11.75" style="584" customWidth="1"/>
    <col min="46" max="46" width="13.25" style="584" customWidth="1"/>
    <col min="47" max="47" width="11.75" style="584" customWidth="1"/>
    <col min="48" max="48" width="8" style="584" customWidth="1"/>
    <col min="49" max="49" width="9.75" style="584" customWidth="1"/>
    <col min="50" max="16384" width="19.1640625" style="584"/>
  </cols>
  <sheetData>
    <row r="1" spans="1:46" ht="14.4" thickBot="1">
      <c r="A1" s="581" t="str">
        <f>assumptions!B2</f>
        <v>enter date</v>
      </c>
      <c r="B1" s="648" t="str">
        <f>assumptions!B1</f>
        <v>enter project name</v>
      </c>
      <c r="C1" s="649"/>
      <c r="D1" s="650"/>
      <c r="E1" s="650"/>
      <c r="F1" s="650"/>
      <c r="G1" s="651"/>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3"/>
    </row>
    <row r="2" spans="1:46" ht="15" thickTop="1">
      <c r="B2" s="654" t="s">
        <v>451</v>
      </c>
      <c r="C2" s="102" t="e">
        <f>D2+E2</f>
        <v>#DIV/0!</v>
      </c>
      <c r="D2" s="102" t="e">
        <f>rents!R103/(rents!R103+rents!R104)</f>
        <v>#DIV/0!</v>
      </c>
      <c r="E2" s="102" t="e">
        <f>rents!R104/(rents!R103+rents!R104)</f>
        <v>#DIV/0!</v>
      </c>
      <c r="F2" s="655"/>
      <c r="G2" s="656"/>
      <c r="H2" s="584" t="s">
        <v>452</v>
      </c>
      <c r="W2" s="657" t="s">
        <v>453</v>
      </c>
      <c r="AM2" s="657"/>
    </row>
    <row r="3" spans="1:46" s="658" customFormat="1" ht="43.2">
      <c r="C3" s="659" t="s">
        <v>387</v>
      </c>
      <c r="D3" s="659" t="s">
        <v>454</v>
      </c>
      <c r="E3" s="659" t="s">
        <v>455</v>
      </c>
      <c r="F3" s="659" t="s">
        <v>456</v>
      </c>
      <c r="G3" s="660" t="s">
        <v>457</v>
      </c>
      <c r="H3" s="661" t="str">
        <f>assumptions!A21</f>
        <v>VHFA Tax Exempt Permanent Debt</v>
      </c>
      <c r="I3" s="661" t="str">
        <f>assumptions!A22</f>
        <v>VHFA Taxable Permanent Debt</v>
      </c>
      <c r="J3" s="661" t="str">
        <f>assumptions!$A23</f>
        <v>VHFA Housing Investments for Vermont (HIVE)</v>
      </c>
      <c r="K3" s="661" t="str">
        <f>assumptions!A24</f>
        <v>VHFA LIAC Permanent Debt</v>
      </c>
      <c r="L3" s="661" t="str">
        <f>assumptions!A25</f>
        <v>Non-VHFA Other Permanent Debt</v>
      </c>
      <c r="M3" s="662" t="str">
        <f>assumptions!$A26</f>
        <v>[Additional Field - Specify] (Amortizing)</v>
      </c>
      <c r="N3" s="662" t="str">
        <f>assumptions!$A27</f>
        <v>[Additional Field - Specify] (Amortizing)</v>
      </c>
      <c r="O3" s="662" t="str">
        <f>assumptions!$A28</f>
        <v>[Additional Field - Specify] (Amortizing)</v>
      </c>
      <c r="P3" s="661" t="str">
        <f>assumptions!$A29</f>
        <v>AHP</v>
      </c>
      <c r="Q3" s="661" t="str">
        <f>assumptions!$A30</f>
        <v>HOME</v>
      </c>
      <c r="R3" s="661" t="str">
        <f>assumptions!$A31</f>
        <v>NHTF</v>
      </c>
      <c r="S3" s="661" t="str">
        <f>assumptions!$A32</f>
        <v>VCDP</v>
      </c>
      <c r="T3" s="661" t="str">
        <f>assumptions!$A33</f>
        <v>VHCB</v>
      </c>
      <c r="U3" s="661" t="str">
        <f>assumptions!$A34</f>
        <v>VHCB Feasibility</v>
      </c>
      <c r="V3" s="661" t="str">
        <f>assumptions!$A35</f>
        <v>Energy Incentives</v>
      </c>
      <c r="W3" s="661" t="str">
        <f>assumptions!$A36</f>
        <v>Deferred Developer Fee</v>
      </c>
      <c r="X3" s="662" t="str">
        <f>assumptions!$A37</f>
        <v>[Additional Field - Specify] (Non-Amortizing)</v>
      </c>
      <c r="Y3" s="662" t="str">
        <f>assumptions!$A38</f>
        <v>[Additional Field - Specify] (Non-Amortizing)</v>
      </c>
      <c r="Z3" s="662" t="str">
        <f>assumptions!$A39</f>
        <v>[Additional Field - Specify] (Non-Amortizing)</v>
      </c>
      <c r="AA3" s="662" t="str">
        <f>assumptions!$A40</f>
        <v>[Additional Field - Specify] (Non-Amortizing)</v>
      </c>
      <c r="AB3" s="662" t="str">
        <f>assumptions!$A41</f>
        <v>[Additional Field - Specify] (Non-Amortizing)</v>
      </c>
      <c r="AC3" s="662" t="str">
        <f>assumptions!$A42</f>
        <v>[Additional Field - Specify] (Non-Amortizing)</v>
      </c>
      <c r="AD3" s="662" t="str">
        <f>assumptions!$A43</f>
        <v>[Additional Field - Specify] (Non-Amortizing)</v>
      </c>
      <c r="AE3" s="662" t="str">
        <f>assumptions!$A44</f>
        <v>[Additional Field - Specify] (Non-Amortizing)</v>
      </c>
      <c r="AF3" s="662" t="str">
        <f>assumptions!$A45</f>
        <v>[Additional Field - Specify] (Non-Amortizing)</v>
      </c>
      <c r="AG3" s="662" t="str">
        <f>assumptions!$A46</f>
        <v>[Additional Field - Specify] (Non-Amortizing)</v>
      </c>
      <c r="AH3" s="661" t="str">
        <f>assumptions!$A47</f>
        <v>General Partner Equity</v>
      </c>
      <c r="AI3" s="661" t="str">
        <f>assumptions!$A48</f>
        <v>Existing Cash Accounts</v>
      </c>
      <c r="AJ3" s="661" t="str">
        <f>assumptions!$A49</f>
        <v>Investment Tax Credit</v>
      </c>
      <c r="AK3" s="661" t="str">
        <f>assumptions!$A50</f>
        <v>Historic Tax Credit Equity</v>
      </c>
      <c r="AL3" s="661" t="str">
        <f>assumptions!$A51</f>
        <v>VHFA - Federal Tax Credit Equity</v>
      </c>
      <c r="AM3" s="661" t="str">
        <f>assumptions!$A52</f>
        <v>VHFA - VT State Tax Credit Equity</v>
      </c>
      <c r="AN3" s="662" t="str">
        <f>assumptions!$A53</f>
        <v>[Additional Field - Specify]</v>
      </c>
      <c r="AO3" s="662" t="str">
        <f>assumptions!$A54</f>
        <v>[Additional Field - Specify]</v>
      </c>
      <c r="AP3" s="662" t="str">
        <f>assumptions!$A55</f>
        <v>[Additional Field - Specify]</v>
      </c>
      <c r="AQ3" s="662" t="str">
        <f>assumptions!$A56</f>
        <v>[Additional Field - Specify]</v>
      </c>
      <c r="AR3" s="662" t="str">
        <f>assumptions!$A57</f>
        <v>[Additional Field - Specify]</v>
      </c>
      <c r="AS3" s="661"/>
    </row>
    <row r="4" spans="1:46" ht="27.6">
      <c r="B4" s="663" t="s">
        <v>388</v>
      </c>
      <c r="H4" s="504">
        <f>assumptions!$B21</f>
        <v>0</v>
      </c>
      <c r="I4" s="504">
        <f>assumptions!B22</f>
        <v>0</v>
      </c>
      <c r="J4" s="504">
        <f>assumptions!$B23</f>
        <v>0</v>
      </c>
      <c r="K4" s="504">
        <f>assumptions!B24</f>
        <v>0</v>
      </c>
      <c r="L4" s="504">
        <f>assumptions!B25</f>
        <v>0</v>
      </c>
      <c r="M4" s="113">
        <f>assumptions!$B26</f>
        <v>0</v>
      </c>
      <c r="N4" s="113">
        <f>assumptions!$B27</f>
        <v>0</v>
      </c>
      <c r="O4" s="113">
        <f>assumptions!$B28</f>
        <v>0</v>
      </c>
      <c r="P4" s="113">
        <f>assumptions!$B29</f>
        <v>0</v>
      </c>
      <c r="Q4" s="113">
        <f>assumptions!$B30</f>
        <v>0</v>
      </c>
      <c r="R4" s="113">
        <f>assumptions!$B31</f>
        <v>0</v>
      </c>
      <c r="S4" s="113">
        <f>assumptions!$B32</f>
        <v>0</v>
      </c>
      <c r="T4" s="113">
        <f>assumptions!$B33</f>
        <v>0</v>
      </c>
      <c r="U4" s="113">
        <f>assumptions!$B34</f>
        <v>0</v>
      </c>
      <c r="V4" s="113">
        <f>assumptions!$B35</f>
        <v>0</v>
      </c>
      <c r="W4" s="113">
        <f>assumptions!$B36</f>
        <v>0</v>
      </c>
      <c r="X4" s="113">
        <f>assumptions!$B37</f>
        <v>0</v>
      </c>
      <c r="Y4" s="113">
        <f>assumptions!$B38</f>
        <v>0</v>
      </c>
      <c r="Z4" s="113">
        <f>assumptions!$B39</f>
        <v>0</v>
      </c>
      <c r="AA4" s="113">
        <f>assumptions!$B40</f>
        <v>0</v>
      </c>
      <c r="AB4" s="113">
        <f>assumptions!$B41</f>
        <v>0</v>
      </c>
      <c r="AC4" s="113">
        <f>assumptions!$B42</f>
        <v>0</v>
      </c>
      <c r="AD4" s="113">
        <f>assumptions!$B43</f>
        <v>0</v>
      </c>
      <c r="AE4" s="113">
        <f>assumptions!$B44</f>
        <v>0</v>
      </c>
      <c r="AF4" s="113">
        <f>assumptions!$B45</f>
        <v>0</v>
      </c>
      <c r="AG4" s="113">
        <f>assumptions!$B46</f>
        <v>0</v>
      </c>
      <c r="AH4" s="113">
        <f>assumptions!$B47</f>
        <v>0</v>
      </c>
      <c r="AI4" s="113">
        <f>assumptions!$B48</f>
        <v>0</v>
      </c>
      <c r="AJ4" s="112">
        <f>assumptions!$B49</f>
        <v>0</v>
      </c>
      <c r="AK4" s="113">
        <f>assumptions!$B50</f>
        <v>0</v>
      </c>
      <c r="AL4" s="113">
        <f>assumptions!$B51</f>
        <v>0</v>
      </c>
      <c r="AM4" s="113">
        <f>assumptions!$B52</f>
        <v>0</v>
      </c>
      <c r="AN4" s="113">
        <f>assumptions!$B53</f>
        <v>0</v>
      </c>
      <c r="AO4" s="113">
        <f>assumptions!$B54</f>
        <v>0</v>
      </c>
      <c r="AP4" s="113">
        <f>assumptions!$B55</f>
        <v>0</v>
      </c>
      <c r="AQ4" s="113">
        <f>assumptions!$B56</f>
        <v>0</v>
      </c>
      <c r="AR4" s="113">
        <f>assumptions!$B57</f>
        <v>0</v>
      </c>
      <c r="AS4" s="658" t="s">
        <v>348</v>
      </c>
    </row>
    <row r="5" spans="1:46">
      <c r="B5" s="590" t="str">
        <f>'project budget'!B5</f>
        <v>Land</v>
      </c>
      <c r="C5" s="157">
        <f>'project budget'!C5</f>
        <v>0</v>
      </c>
      <c r="D5" s="96" t="e">
        <f>C5*$D$2</f>
        <v>#DIV/0!</v>
      </c>
      <c r="E5" s="97" t="e">
        <f>C5*$E$2</f>
        <v>#DIV/0!</v>
      </c>
      <c r="F5" s="97" t="e">
        <f>D5/'rent summary'!$D$25</f>
        <v>#DIV/0!</v>
      </c>
      <c r="G5" s="140" t="e">
        <f>C5/rents!$R$105</f>
        <v>#DIV/0!</v>
      </c>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97">
        <f t="shared" ref="AS5:AS12" si="0">SUM(H5:AR5)</f>
        <v>0</v>
      </c>
      <c r="AT5" s="97">
        <f t="shared" ref="AT5:AT12" si="1">AS5-C5</f>
        <v>0</v>
      </c>
    </row>
    <row r="6" spans="1:46">
      <c r="B6" s="590" t="str">
        <f>'project budget'!B6</f>
        <v>Purchase of Building</v>
      </c>
      <c r="C6" s="157">
        <f>'project budget'!C6</f>
        <v>0</v>
      </c>
      <c r="D6" s="97" t="e">
        <f t="shared" ref="D6:D10" si="2">C6*$D$2</f>
        <v>#DIV/0!</v>
      </c>
      <c r="E6" s="97" t="e">
        <f t="shared" ref="E6:E10" si="3">C6*$E$2</f>
        <v>#DIV/0!</v>
      </c>
      <c r="F6" s="97" t="e">
        <f>D6/'rent summary'!$D$25</f>
        <v>#DIV/0!</v>
      </c>
      <c r="G6" s="140" t="e">
        <f>C6/rents!$R$105</f>
        <v>#DIV/0!</v>
      </c>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97">
        <f t="shared" si="0"/>
        <v>0</v>
      </c>
      <c r="AT6" s="97">
        <f t="shared" si="1"/>
        <v>0</v>
      </c>
    </row>
    <row r="7" spans="1:46">
      <c r="B7" s="590" t="str">
        <f>'project budget'!B7</f>
        <v>Demolition (without replacement)</v>
      </c>
      <c r="C7" s="157">
        <f>'project budget'!C7</f>
        <v>0</v>
      </c>
      <c r="D7" s="97" t="e">
        <f t="shared" si="2"/>
        <v>#DIV/0!</v>
      </c>
      <c r="E7" s="97" t="e">
        <f>C7*$E$2</f>
        <v>#DIV/0!</v>
      </c>
      <c r="F7" s="97" t="e">
        <f>D7/'rent summary'!$D$25</f>
        <v>#DIV/0!</v>
      </c>
      <c r="G7" s="140" t="e">
        <f>C7/rents!$R$105</f>
        <v>#DIV/0!</v>
      </c>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97">
        <f t="shared" si="0"/>
        <v>0</v>
      </c>
      <c r="AT7" s="97">
        <f t="shared" si="1"/>
        <v>0</v>
      </c>
    </row>
    <row r="8" spans="1:46">
      <c r="B8" s="590" t="str">
        <f>'project budget'!B8</f>
        <v>Appraisal</v>
      </c>
      <c r="C8" s="157">
        <f>'project budget'!C8</f>
        <v>0</v>
      </c>
      <c r="D8" s="97" t="e">
        <f t="shared" si="2"/>
        <v>#DIV/0!</v>
      </c>
      <c r="E8" s="97" t="e">
        <f t="shared" si="3"/>
        <v>#DIV/0!</v>
      </c>
      <c r="F8" s="97" t="e">
        <f>D8/'rent summary'!$D$25</f>
        <v>#DIV/0!</v>
      </c>
      <c r="G8" s="140" t="e">
        <f>C8/rents!$R$105</f>
        <v>#DIV/0!</v>
      </c>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97">
        <f t="shared" si="0"/>
        <v>0</v>
      </c>
      <c r="AT8" s="97">
        <f t="shared" si="1"/>
        <v>0</v>
      </c>
    </row>
    <row r="9" spans="1:46">
      <c r="B9" s="590" t="str">
        <f>'project budget'!B9</f>
        <v>Legal - Title and Recording</v>
      </c>
      <c r="C9" s="157">
        <f>'project budget'!C9</f>
        <v>0</v>
      </c>
      <c r="D9" s="97" t="e">
        <f t="shared" si="2"/>
        <v>#DIV/0!</v>
      </c>
      <c r="E9" s="97" t="e">
        <f t="shared" si="3"/>
        <v>#DIV/0!</v>
      </c>
      <c r="F9" s="143" t="e">
        <f>D9/'rent summary'!$D$25</f>
        <v>#DIV/0!</v>
      </c>
      <c r="G9" s="140" t="e">
        <f>C9/rents!$R$105</f>
        <v>#DIV/0!</v>
      </c>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97">
        <f t="shared" si="0"/>
        <v>0</v>
      </c>
      <c r="AT9" s="97">
        <f t="shared" si="1"/>
        <v>0</v>
      </c>
    </row>
    <row r="10" spans="1:46" ht="14.4" outlineLevel="1">
      <c r="B10" s="665" t="str">
        <f>'project budget'!B10</f>
        <v>[Additional Field - Specify]</v>
      </c>
      <c r="C10" s="157">
        <f>'project budget'!C10</f>
        <v>0</v>
      </c>
      <c r="D10" s="97" t="e">
        <f t="shared" si="2"/>
        <v>#DIV/0!</v>
      </c>
      <c r="E10" s="97" t="e">
        <f t="shared" si="3"/>
        <v>#DIV/0!</v>
      </c>
      <c r="F10" s="143" t="e">
        <f>D10/'rent summary'!$D$25</f>
        <v>#DIV/0!</v>
      </c>
      <c r="G10" s="140" t="e">
        <f>C10/rents!$R$105</f>
        <v>#DIV/0!</v>
      </c>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97">
        <f t="shared" si="0"/>
        <v>0</v>
      </c>
      <c r="AT10" s="97">
        <f t="shared" si="1"/>
        <v>0</v>
      </c>
    </row>
    <row r="11" spans="1:46" ht="14.4" outlineLevel="1">
      <c r="B11" s="665" t="str">
        <f>'project budget'!B11</f>
        <v>[Additional Field - Specify]</v>
      </c>
      <c r="C11" s="157">
        <f>'project budget'!C11</f>
        <v>0</v>
      </c>
      <c r="D11" s="97" t="e">
        <f t="shared" ref="D11" si="4">C11*$D$2</f>
        <v>#DIV/0!</v>
      </c>
      <c r="E11" s="97" t="e">
        <f t="shared" ref="E11:E12" si="5">C11*$E$2</f>
        <v>#DIV/0!</v>
      </c>
      <c r="F11" s="143" t="e">
        <f>D11/'rent summary'!$D$25</f>
        <v>#DIV/0!</v>
      </c>
      <c r="G11" s="140" t="e">
        <f>C11/rents!$R$105</f>
        <v>#DIV/0!</v>
      </c>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97">
        <f t="shared" si="0"/>
        <v>0</v>
      </c>
      <c r="AT11" s="97">
        <f t="shared" si="1"/>
        <v>0</v>
      </c>
    </row>
    <row r="12" spans="1:46" ht="14.4" outlineLevel="1">
      <c r="B12" s="665" t="str">
        <f>'project budget'!B12</f>
        <v>[Additional Field - Specify]</v>
      </c>
      <c r="C12" s="177">
        <f>'project budget'!C12</f>
        <v>0</v>
      </c>
      <c r="D12" s="187" t="e">
        <f>C12*$D$2</f>
        <v>#DIV/0!</v>
      </c>
      <c r="E12" s="143" t="e">
        <f t="shared" si="5"/>
        <v>#DIV/0!</v>
      </c>
      <c r="F12" s="143" t="e">
        <f>D12/'rent summary'!$D$25</f>
        <v>#DIV/0!</v>
      </c>
      <c r="G12" s="302" t="e">
        <f>C12/rents!$R$105</f>
        <v>#DIV/0!</v>
      </c>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97">
        <f t="shared" si="0"/>
        <v>0</v>
      </c>
      <c r="AT12" s="97">
        <f t="shared" si="1"/>
        <v>0</v>
      </c>
    </row>
    <row r="13" spans="1:46" ht="14.4">
      <c r="A13" s="666"/>
      <c r="B13" s="667" t="s">
        <v>394</v>
      </c>
      <c r="C13" s="98">
        <f>SUM(C5:C12)</f>
        <v>0</v>
      </c>
      <c r="D13" s="98" t="e">
        <f>SUM(D5:D12)</f>
        <v>#DIV/0!</v>
      </c>
      <c r="E13" s="98" t="e">
        <f>SUM(E5:E9)</f>
        <v>#DIV/0!</v>
      </c>
      <c r="F13" s="141" t="e">
        <f>D13/'rent summary'!$D$25</f>
        <v>#DIV/0!</v>
      </c>
      <c r="G13" s="319" t="e">
        <f>SUM(G5:G9)</f>
        <v>#DIV/0!</v>
      </c>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row>
    <row r="14" spans="1:46">
      <c r="B14" s="663" t="s">
        <v>395</v>
      </c>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97"/>
      <c r="AT14" s="97"/>
    </row>
    <row r="15" spans="1:46" ht="15.6">
      <c r="B15" s="590" t="str">
        <f>'project budget'!B15</f>
        <v>Construction - Residential</v>
      </c>
      <c r="C15" s="157">
        <f>'project budget'!C15</f>
        <v>0</v>
      </c>
      <c r="D15" s="96" t="e">
        <f>C15*$D$2</f>
        <v>#DIV/0!</v>
      </c>
      <c r="E15" s="99"/>
      <c r="F15" s="97" t="e">
        <f>D15/'rent summary'!$D$25</f>
        <v>#DIV/0!</v>
      </c>
      <c r="G15" s="140" t="e">
        <f>C15/rents!$R$105</f>
        <v>#DIV/0!</v>
      </c>
      <c r="H15" s="55"/>
      <c r="I15" s="55"/>
      <c r="J15" s="55"/>
      <c r="K15" s="55"/>
      <c r="L15" s="55"/>
      <c r="M15" s="55"/>
      <c r="N15" s="55"/>
      <c r="O15" s="55"/>
      <c r="P15" s="55"/>
      <c r="Q15" s="56"/>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97">
        <f t="shared" ref="AS15:AS32" si="6">SUM(H15:AR15)</f>
        <v>0</v>
      </c>
      <c r="AT15" s="97">
        <f t="shared" ref="AT15:AT32" si="7">AS15-C15</f>
        <v>0</v>
      </c>
    </row>
    <row r="16" spans="1:46">
      <c r="B16" s="590" t="str">
        <f>'project budget'!B16</f>
        <v>Construction - Commercial</v>
      </c>
      <c r="C16" s="157">
        <f>'project budget'!C16</f>
        <v>0</v>
      </c>
      <c r="D16" s="99"/>
      <c r="E16" s="97">
        <f>C16</f>
        <v>0</v>
      </c>
      <c r="F16" s="97" t="e">
        <f>D16/'rent summary'!$D$25</f>
        <v>#DIV/0!</v>
      </c>
      <c r="G16" s="140" t="e">
        <f>C16/rents!$R$105</f>
        <v>#DIV/0!</v>
      </c>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97">
        <f t="shared" si="6"/>
        <v>0</v>
      </c>
      <c r="AT16" s="97">
        <f t="shared" si="7"/>
        <v>0</v>
      </c>
    </row>
    <row r="17" spans="1:46">
      <c r="B17" s="590" t="str">
        <f>'project budget'!B17</f>
        <v>Site Work</v>
      </c>
      <c r="C17" s="157">
        <f>'project budget'!C17</f>
        <v>0</v>
      </c>
      <c r="D17" s="96" t="e">
        <f>C17*$D$2</f>
        <v>#DIV/0!</v>
      </c>
      <c r="E17" s="97" t="e">
        <f t="shared" ref="E17:E32" si="8">C17*$E$2</f>
        <v>#DIV/0!</v>
      </c>
      <c r="F17" s="96" t="e">
        <f>D17/'rent summary'!$D$25</f>
        <v>#DIV/0!</v>
      </c>
      <c r="G17" s="140" t="e">
        <f>C17/rents!$R$105</f>
        <v>#DIV/0!</v>
      </c>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97">
        <f t="shared" si="6"/>
        <v>0</v>
      </c>
      <c r="AT17" s="97">
        <f t="shared" si="7"/>
        <v>0</v>
      </c>
    </row>
    <row r="18" spans="1:46">
      <c r="B18" s="590" t="str">
        <f>'project budget'!B18</f>
        <v>Demolition - Construction</v>
      </c>
      <c r="C18" s="157">
        <f>'project budget'!C18</f>
        <v>0</v>
      </c>
      <c r="D18" s="97" t="e">
        <f t="shared" ref="D18:D32" si="9">C18*$D$2</f>
        <v>#DIV/0!</v>
      </c>
      <c r="E18" s="96" t="e">
        <f>C18*$E$2</f>
        <v>#DIV/0!</v>
      </c>
      <c r="F18" s="97" t="e">
        <f>D18/'rent summary'!$D$25</f>
        <v>#DIV/0!</v>
      </c>
      <c r="G18" s="140" t="e">
        <f>C18/rents!$R$105</f>
        <v>#DIV/0!</v>
      </c>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97">
        <f t="shared" si="6"/>
        <v>0</v>
      </c>
      <c r="AT18" s="97">
        <f t="shared" si="7"/>
        <v>0</v>
      </c>
    </row>
    <row r="19" spans="1:46">
      <c r="B19" s="590" t="str">
        <f>'project budget'!B19</f>
        <v>Commercial Fit Up</v>
      </c>
      <c r="C19" s="157">
        <f>'project budget'!C19</f>
        <v>0</v>
      </c>
      <c r="D19" s="99"/>
      <c r="E19" s="97">
        <f>C19</f>
        <v>0</v>
      </c>
      <c r="F19" s="97" t="e">
        <f>D19/'rent summary'!$D$25</f>
        <v>#DIV/0!</v>
      </c>
      <c r="G19" s="140" t="e">
        <f>C19/rents!$R$105</f>
        <v>#DIV/0!</v>
      </c>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97">
        <f t="shared" si="6"/>
        <v>0</v>
      </c>
      <c r="AT19" s="97">
        <f t="shared" si="7"/>
        <v>0</v>
      </c>
    </row>
    <row r="20" spans="1:46">
      <c r="A20" s="34" t="str">
        <f>IF(ISERR(C20/$C$33),"N/A",C20/$C$33)</f>
        <v>N/A</v>
      </c>
      <c r="B20" s="590" t="str">
        <f>'project budget'!B20</f>
        <v>Contractor Overhead</v>
      </c>
      <c r="C20" s="157">
        <f>'project budget'!C20</f>
        <v>0</v>
      </c>
      <c r="D20" s="97" t="e">
        <f t="shared" si="9"/>
        <v>#DIV/0!</v>
      </c>
      <c r="E20" s="97" t="e">
        <f t="shared" si="8"/>
        <v>#DIV/0!</v>
      </c>
      <c r="F20" s="97" t="e">
        <f>D20/'rent summary'!$D$25</f>
        <v>#DIV/0!</v>
      </c>
      <c r="G20" s="140" t="e">
        <f>C20/rents!$R$105</f>
        <v>#DIV/0!</v>
      </c>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97">
        <f t="shared" si="6"/>
        <v>0</v>
      </c>
      <c r="AT20" s="97">
        <f t="shared" si="7"/>
        <v>0</v>
      </c>
    </row>
    <row r="21" spans="1:46">
      <c r="A21" s="34" t="str">
        <f t="shared" ref="A21" si="10">IF(ISERR(C21/$C$33),"N/A",C21/$C$33)</f>
        <v>N/A</v>
      </c>
      <c r="B21" s="590" t="str">
        <f>'project budget'!B21</f>
        <v>Contractor Profit</v>
      </c>
      <c r="C21" s="157">
        <f>'project budget'!C21</f>
        <v>0</v>
      </c>
      <c r="D21" s="97" t="e">
        <f t="shared" si="9"/>
        <v>#DIV/0!</v>
      </c>
      <c r="E21" s="97" t="e">
        <f t="shared" si="8"/>
        <v>#DIV/0!</v>
      </c>
      <c r="F21" s="97" t="e">
        <f>D21/'rent summary'!$D$25</f>
        <v>#DIV/0!</v>
      </c>
      <c r="G21" s="140" t="e">
        <f>C21/rents!$R$105</f>
        <v>#DIV/0!</v>
      </c>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97">
        <f t="shared" si="6"/>
        <v>0</v>
      </c>
      <c r="AT21" s="97">
        <f t="shared" si="7"/>
        <v>0</v>
      </c>
    </row>
    <row r="22" spans="1:46">
      <c r="A22" s="34" t="str">
        <f>IF(ISERR(C22/$C$33),"N/A",C22/$C$33)</f>
        <v>N/A</v>
      </c>
      <c r="B22" s="590" t="str">
        <f>'project budget'!B22</f>
        <v>Contractor General Requirements</v>
      </c>
      <c r="C22" s="157">
        <f>'project budget'!C22</f>
        <v>0</v>
      </c>
      <c r="D22" s="97" t="e">
        <f t="shared" ref="D22" si="11">C22*$D$2</f>
        <v>#DIV/0!</v>
      </c>
      <c r="E22" s="97" t="e">
        <f t="shared" ref="E22" si="12">C22*$E$2</f>
        <v>#DIV/0!</v>
      </c>
      <c r="F22" s="97" t="e">
        <f>D22/'rent summary'!$D$25</f>
        <v>#DIV/0!</v>
      </c>
      <c r="G22" s="140" t="e">
        <f>C22/rents!$R$105</f>
        <v>#DIV/0!</v>
      </c>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97">
        <f t="shared" si="6"/>
        <v>0</v>
      </c>
      <c r="AT22" s="97">
        <f t="shared" si="7"/>
        <v>0</v>
      </c>
    </row>
    <row r="23" spans="1:46">
      <c r="A23" s="34" t="str">
        <f>IF(ISERR(C23/$C$33),"N/A",C23/$C$33)</f>
        <v>N/A</v>
      </c>
      <c r="B23" s="590" t="str">
        <f>'project budget'!B23</f>
        <v>Construction Contingency</v>
      </c>
      <c r="C23" s="157">
        <f>'project budget'!C23</f>
        <v>0</v>
      </c>
      <c r="D23" s="97" t="e">
        <f t="shared" si="9"/>
        <v>#DIV/0!</v>
      </c>
      <c r="E23" s="97" t="e">
        <f t="shared" si="8"/>
        <v>#DIV/0!</v>
      </c>
      <c r="F23" s="97" t="e">
        <f>D23/'rent summary'!$D$25</f>
        <v>#DIV/0!</v>
      </c>
      <c r="G23" s="140" t="e">
        <f>C23/rents!$R$105</f>
        <v>#DIV/0!</v>
      </c>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97">
        <f t="shared" si="6"/>
        <v>0</v>
      </c>
      <c r="AT23" s="97">
        <f t="shared" si="7"/>
        <v>0</v>
      </c>
    </row>
    <row r="24" spans="1:46">
      <c r="B24" s="590" t="str">
        <f>'project budget'!B24</f>
        <v>Construction Bond Fee</v>
      </c>
      <c r="C24" s="157">
        <f>'project budget'!C24</f>
        <v>0</v>
      </c>
      <c r="D24" s="97" t="e">
        <f t="shared" si="9"/>
        <v>#DIV/0!</v>
      </c>
      <c r="E24" s="97" t="e">
        <f t="shared" si="8"/>
        <v>#DIV/0!</v>
      </c>
      <c r="F24" s="97" t="e">
        <f>D24/'rent summary'!$D$25</f>
        <v>#DIV/0!</v>
      </c>
      <c r="G24" s="140" t="e">
        <f>C24/rents!$R$105</f>
        <v>#DIV/0!</v>
      </c>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97">
        <f t="shared" si="6"/>
        <v>0</v>
      </c>
      <c r="AT24" s="97">
        <f t="shared" si="7"/>
        <v>0</v>
      </c>
    </row>
    <row r="25" spans="1:46">
      <c r="B25" s="590" t="str">
        <f>'project budget'!B25</f>
        <v>Hazardous Materials Abatement</v>
      </c>
      <c r="C25" s="157">
        <f>'project budget'!C25</f>
        <v>0</v>
      </c>
      <c r="D25" s="97" t="e">
        <f t="shared" si="9"/>
        <v>#DIV/0!</v>
      </c>
      <c r="E25" s="97" t="e">
        <f t="shared" si="8"/>
        <v>#DIV/0!</v>
      </c>
      <c r="F25" s="97" t="e">
        <f>D25/'rent summary'!$D$25</f>
        <v>#DIV/0!</v>
      </c>
      <c r="G25" s="140" t="e">
        <f>C25/rents!$R$105</f>
        <v>#DIV/0!</v>
      </c>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97">
        <f t="shared" si="6"/>
        <v>0</v>
      </c>
      <c r="AT25" s="97">
        <f t="shared" si="7"/>
        <v>0</v>
      </c>
    </row>
    <row r="26" spans="1:46">
      <c r="B26" s="590" t="str">
        <f>'project budget'!B26</f>
        <v>Off-Site Improvements</v>
      </c>
      <c r="C26" s="157">
        <f>'project budget'!C26</f>
        <v>0</v>
      </c>
      <c r="D26" s="97" t="e">
        <f t="shared" si="9"/>
        <v>#DIV/0!</v>
      </c>
      <c r="E26" s="97" t="e">
        <f t="shared" si="8"/>
        <v>#DIV/0!</v>
      </c>
      <c r="F26" s="97" t="e">
        <f>D26/'rent summary'!$D$25</f>
        <v>#DIV/0!</v>
      </c>
      <c r="G26" s="140" t="e">
        <f>C26/rents!$R$105</f>
        <v>#DIV/0!</v>
      </c>
      <c r="H26" s="55"/>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97">
        <f t="shared" si="6"/>
        <v>0</v>
      </c>
      <c r="AT26" s="97">
        <f t="shared" si="7"/>
        <v>0</v>
      </c>
    </row>
    <row r="27" spans="1:46">
      <c r="B27" s="590" t="str">
        <f>'project budget'!B27</f>
        <v>Furnishings, Fixtures, &amp; Equipment</v>
      </c>
      <c r="C27" s="177">
        <f>'project budget'!C27</f>
        <v>0</v>
      </c>
      <c r="D27" s="143" t="e">
        <f t="shared" si="9"/>
        <v>#DIV/0!</v>
      </c>
      <c r="E27" s="143" t="e">
        <f t="shared" si="8"/>
        <v>#DIV/0!</v>
      </c>
      <c r="F27" s="143" t="e">
        <f>D27/'rent summary'!$D$25</f>
        <v>#DIV/0!</v>
      </c>
      <c r="G27" s="302" t="e">
        <f>C27/rents!$R$105</f>
        <v>#DIV/0!</v>
      </c>
      <c r="H27" s="55"/>
      <c r="I27" s="55"/>
      <c r="J27" s="55"/>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97">
        <f t="shared" si="6"/>
        <v>0</v>
      </c>
      <c r="AT27" s="97">
        <f t="shared" si="7"/>
        <v>0</v>
      </c>
    </row>
    <row r="28" spans="1:46" ht="14.4" outlineLevel="1">
      <c r="B28" s="665" t="str">
        <f>'project budget'!B28</f>
        <v>[Additional Field - Specify]</v>
      </c>
      <c r="C28" s="157">
        <f>'project budget'!C28</f>
        <v>0</v>
      </c>
      <c r="D28" s="97" t="e">
        <f t="shared" si="9"/>
        <v>#DIV/0!</v>
      </c>
      <c r="E28" s="97" t="e">
        <f t="shared" si="8"/>
        <v>#DIV/0!</v>
      </c>
      <c r="F28" s="143" t="e">
        <f>D28/'rent summary'!$D$25</f>
        <v>#DIV/0!</v>
      </c>
      <c r="G28" s="140" t="e">
        <f>C28/rents!$R$105</f>
        <v>#DIV/0!</v>
      </c>
      <c r="H28" s="55"/>
      <c r="I28" s="55"/>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97">
        <f t="shared" si="6"/>
        <v>0</v>
      </c>
      <c r="AT28" s="97">
        <f t="shared" si="7"/>
        <v>0</v>
      </c>
    </row>
    <row r="29" spans="1:46" ht="14.4" outlineLevel="1">
      <c r="B29" s="665" t="str">
        <f>'project budget'!B29</f>
        <v>[Additional Field - Specify]</v>
      </c>
      <c r="C29" s="157">
        <f>'project budget'!C29</f>
        <v>0</v>
      </c>
      <c r="D29" s="97" t="e">
        <f t="shared" si="9"/>
        <v>#DIV/0!</v>
      </c>
      <c r="E29" s="97" t="e">
        <f t="shared" si="8"/>
        <v>#DIV/0!</v>
      </c>
      <c r="F29" s="143" t="e">
        <f>D29/'rent summary'!$D$25</f>
        <v>#DIV/0!</v>
      </c>
      <c r="G29" s="140" t="e">
        <f>C29/rents!$R$105</f>
        <v>#DIV/0!</v>
      </c>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97">
        <f t="shared" si="6"/>
        <v>0</v>
      </c>
      <c r="AT29" s="97">
        <f t="shared" si="7"/>
        <v>0</v>
      </c>
    </row>
    <row r="30" spans="1:46" ht="14.4" outlineLevel="1">
      <c r="B30" s="665" t="str">
        <f>'project budget'!B30</f>
        <v>[Additional Field - Specify]</v>
      </c>
      <c r="C30" s="157">
        <f>'project budget'!C30</f>
        <v>0</v>
      </c>
      <c r="D30" s="97" t="e">
        <f t="shared" si="9"/>
        <v>#DIV/0!</v>
      </c>
      <c r="E30" s="97" t="e">
        <f t="shared" si="8"/>
        <v>#DIV/0!</v>
      </c>
      <c r="F30" s="143" t="e">
        <f>D30/'rent summary'!$D$25</f>
        <v>#DIV/0!</v>
      </c>
      <c r="G30" s="140" t="e">
        <f>C30/rents!$R$105</f>
        <v>#DIV/0!</v>
      </c>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97">
        <f t="shared" si="6"/>
        <v>0</v>
      </c>
      <c r="AT30" s="97">
        <f t="shared" si="7"/>
        <v>0</v>
      </c>
    </row>
    <row r="31" spans="1:46" ht="14.4" outlineLevel="1">
      <c r="B31" s="665" t="str">
        <f>'project budget'!B31</f>
        <v>[Additional Field - Specify]</v>
      </c>
      <c r="C31" s="157">
        <f>'project budget'!C31</f>
        <v>0</v>
      </c>
      <c r="D31" s="97" t="e">
        <f t="shared" si="9"/>
        <v>#DIV/0!</v>
      </c>
      <c r="E31" s="97" t="e">
        <f t="shared" si="8"/>
        <v>#DIV/0!</v>
      </c>
      <c r="F31" s="143" t="e">
        <f>D31/'rent summary'!$D$25</f>
        <v>#DIV/0!</v>
      </c>
      <c r="G31" s="140" t="e">
        <f>C31/rents!$R$105</f>
        <v>#DIV/0!</v>
      </c>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97">
        <f t="shared" si="6"/>
        <v>0</v>
      </c>
      <c r="AT31" s="97">
        <f t="shared" si="7"/>
        <v>0</v>
      </c>
    </row>
    <row r="32" spans="1:46" ht="14.4" outlineLevel="1">
      <c r="B32" s="668" t="str">
        <f>'project budget'!B32</f>
        <v>[Additional Field - Specify]</v>
      </c>
      <c r="C32" s="157">
        <f>'project budget'!C32</f>
        <v>0</v>
      </c>
      <c r="D32" s="97" t="e">
        <f t="shared" si="9"/>
        <v>#DIV/0!</v>
      </c>
      <c r="E32" s="97" t="e">
        <f t="shared" si="8"/>
        <v>#DIV/0!</v>
      </c>
      <c r="F32" s="101" t="e">
        <f>D32/'rent summary'!$D$25</f>
        <v>#DIV/0!</v>
      </c>
      <c r="G32" s="140" t="e">
        <f>C32/rents!$R$105</f>
        <v>#DIV/0!</v>
      </c>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97">
        <f t="shared" si="6"/>
        <v>0</v>
      </c>
      <c r="AT32" s="97">
        <f t="shared" si="7"/>
        <v>0</v>
      </c>
    </row>
    <row r="33" spans="1:46" ht="14.4">
      <c r="A33" s="666"/>
      <c r="B33" s="667" t="s">
        <v>409</v>
      </c>
      <c r="C33" s="98">
        <f>SUM(C15:C32)</f>
        <v>0</v>
      </c>
      <c r="D33" s="98" t="e">
        <f>SUM(D15:D32)</f>
        <v>#DIV/0!</v>
      </c>
      <c r="E33" s="98" t="e">
        <f>SUM(E15:E32)</f>
        <v>#DIV/0!</v>
      </c>
      <c r="F33" s="141" t="e">
        <f>D33/'rent summary'!$D$25</f>
        <v>#DIV/0!</v>
      </c>
      <c r="G33" s="319" t="e">
        <f>SUM(G15:G32)</f>
        <v>#DIV/0!</v>
      </c>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row>
    <row r="34" spans="1:46">
      <c r="A34" s="666"/>
      <c r="B34" s="669" t="s">
        <v>410</v>
      </c>
      <c r="C34" s="100">
        <f>SUM(C13,C33)</f>
        <v>0</v>
      </c>
      <c r="D34" s="100" t="e">
        <f t="shared" ref="D34" si="13">SUM(D13,D33)</f>
        <v>#DIV/0!</v>
      </c>
      <c r="E34" s="100" t="e">
        <f>SUM(E13,E33)</f>
        <v>#DIV/0!</v>
      </c>
      <c r="F34" s="100" t="e">
        <f>SUM(F13,F33)</f>
        <v>#DIV/0!</v>
      </c>
      <c r="G34" s="320" t="e">
        <f>SUM(G13,G33)</f>
        <v>#DIV/0!</v>
      </c>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row>
    <row r="35" spans="1:46">
      <c r="B35" s="663" t="s">
        <v>411</v>
      </c>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97"/>
      <c r="AT35" s="97"/>
    </row>
    <row r="36" spans="1:46">
      <c r="B36" s="590" t="str">
        <f>'project budget'!B36</f>
        <v>Architectural</v>
      </c>
      <c r="C36" s="157">
        <f>'project budget'!C36</f>
        <v>0</v>
      </c>
      <c r="D36" s="97" t="e">
        <f t="shared" ref="D36" si="14">C36*$D$2</f>
        <v>#DIV/0!</v>
      </c>
      <c r="E36" s="97" t="e">
        <f t="shared" ref="E36" si="15">C36*$E$2</f>
        <v>#DIV/0!</v>
      </c>
      <c r="F36" s="97" t="e">
        <f>D36/'rent summary'!$D$25</f>
        <v>#DIV/0!</v>
      </c>
      <c r="G36" s="140" t="e">
        <f>C36/rents!$R$105</f>
        <v>#DIV/0!</v>
      </c>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97">
        <f t="shared" ref="AS36:AS65" si="16">SUM(H36:AR36)</f>
        <v>0</v>
      </c>
      <c r="AT36" s="97">
        <f t="shared" ref="AT36:AT65" si="17">AS36-C36</f>
        <v>0</v>
      </c>
    </row>
    <row r="37" spans="1:46">
      <c r="B37" s="590" t="str">
        <f>'project budget'!B37</f>
        <v>Engineering</v>
      </c>
      <c r="C37" s="157">
        <f>'project budget'!C37</f>
        <v>0</v>
      </c>
      <c r="D37" s="97" t="e">
        <f t="shared" ref="D37:D65" si="18">C37*$D$2</f>
        <v>#DIV/0!</v>
      </c>
      <c r="E37" s="97" t="e">
        <f t="shared" ref="E37:E65" si="19">C37*$E$2</f>
        <v>#DIV/0!</v>
      </c>
      <c r="F37" s="97" t="e">
        <f>D37/'rent summary'!$D$25</f>
        <v>#DIV/0!</v>
      </c>
      <c r="G37" s="140" t="e">
        <f>C37/rents!$R$105</f>
        <v>#DIV/0!</v>
      </c>
      <c r="H37" s="55"/>
      <c r="I37" s="55"/>
      <c r="J37" s="55"/>
      <c r="K37" s="55"/>
      <c r="L37" s="5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97">
        <f t="shared" si="16"/>
        <v>0</v>
      </c>
      <c r="AT37" s="97">
        <f t="shared" si="17"/>
        <v>0</v>
      </c>
    </row>
    <row r="38" spans="1:46">
      <c r="B38" s="590" t="str">
        <f>'project budget'!B38</f>
        <v xml:space="preserve">A&amp;E Combined Contract </v>
      </c>
      <c r="C38" s="157">
        <f>'project budget'!C38</f>
        <v>0</v>
      </c>
      <c r="D38" s="97" t="e">
        <f t="shared" si="18"/>
        <v>#DIV/0!</v>
      </c>
      <c r="E38" s="97" t="e">
        <f t="shared" si="19"/>
        <v>#DIV/0!</v>
      </c>
      <c r="F38" s="97" t="e">
        <f>D38/'rent summary'!$D$25</f>
        <v>#DIV/0!</v>
      </c>
      <c r="G38" s="140" t="e">
        <f>C38/rents!$R$105</f>
        <v>#DIV/0!</v>
      </c>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97">
        <f t="shared" si="16"/>
        <v>0</v>
      </c>
      <c r="AT38" s="97">
        <f t="shared" si="17"/>
        <v>0</v>
      </c>
    </row>
    <row r="39" spans="1:46">
      <c r="B39" s="590" t="str">
        <f>'project budget'!B39</f>
        <v>Legal/Accounting</v>
      </c>
      <c r="C39" s="157">
        <f>'project budget'!C39</f>
        <v>0</v>
      </c>
      <c r="D39" s="97" t="e">
        <f t="shared" si="18"/>
        <v>#DIV/0!</v>
      </c>
      <c r="E39" s="97" t="e">
        <f t="shared" si="19"/>
        <v>#DIV/0!</v>
      </c>
      <c r="F39" s="97" t="e">
        <f>D39/'rent summary'!$D$25</f>
        <v>#DIV/0!</v>
      </c>
      <c r="G39" s="140" t="e">
        <f>C39/rents!$R$105</f>
        <v>#DIV/0!</v>
      </c>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97">
        <f t="shared" si="16"/>
        <v>0</v>
      </c>
      <c r="AT39" s="97">
        <f t="shared" si="17"/>
        <v>0</v>
      </c>
    </row>
    <row r="40" spans="1:46">
      <c r="B40" s="590" t="str">
        <f>'project budget'!B40</f>
        <v>Relocation</v>
      </c>
      <c r="C40" s="157">
        <f>'project budget'!C40</f>
        <v>0</v>
      </c>
      <c r="D40" s="97" t="e">
        <f t="shared" si="18"/>
        <v>#DIV/0!</v>
      </c>
      <c r="E40" s="97" t="e">
        <f t="shared" si="19"/>
        <v>#DIV/0!</v>
      </c>
      <c r="F40" s="97" t="e">
        <f>D40/'rent summary'!$D$25</f>
        <v>#DIV/0!</v>
      </c>
      <c r="G40" s="140" t="e">
        <f>C40/rents!$R$105</f>
        <v>#DIV/0!</v>
      </c>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97">
        <f t="shared" si="16"/>
        <v>0</v>
      </c>
      <c r="AT40" s="97">
        <f t="shared" si="17"/>
        <v>0</v>
      </c>
    </row>
    <row r="41" spans="1:46">
      <c r="B41" s="590" t="str">
        <f>'project budget'!B41</f>
        <v>Construction Inspections</v>
      </c>
      <c r="C41" s="157">
        <f>'project budget'!C41</f>
        <v>0</v>
      </c>
      <c r="D41" s="97" t="e">
        <f t="shared" si="18"/>
        <v>#DIV/0!</v>
      </c>
      <c r="E41" s="97" t="e">
        <f t="shared" si="19"/>
        <v>#DIV/0!</v>
      </c>
      <c r="F41" s="97" t="e">
        <f>D41/'rent summary'!$D$25</f>
        <v>#DIV/0!</v>
      </c>
      <c r="G41" s="140" t="e">
        <f>C41/rents!$R$105</f>
        <v>#DIV/0!</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97">
        <f t="shared" si="16"/>
        <v>0</v>
      </c>
      <c r="AT41" s="97">
        <f t="shared" si="17"/>
        <v>0</v>
      </c>
    </row>
    <row r="42" spans="1:46">
      <c r="B42" s="590" t="str">
        <f>'project budget'!B42</f>
        <v>Environmental Assessment</v>
      </c>
      <c r="C42" s="157">
        <f>'project budget'!C42</f>
        <v>0</v>
      </c>
      <c r="D42" s="97" t="e">
        <f t="shared" si="18"/>
        <v>#DIV/0!</v>
      </c>
      <c r="E42" s="97" t="e">
        <f t="shared" si="19"/>
        <v>#DIV/0!</v>
      </c>
      <c r="F42" s="97" t="e">
        <f>D42/'rent summary'!$D$25</f>
        <v>#DIV/0!</v>
      </c>
      <c r="G42" s="140" t="e">
        <f>C42/rents!$R$105</f>
        <v>#DIV/0!</v>
      </c>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97">
        <f t="shared" si="16"/>
        <v>0</v>
      </c>
      <c r="AT42" s="97">
        <f t="shared" si="17"/>
        <v>0</v>
      </c>
    </row>
    <row r="43" spans="1:46">
      <c r="B43" s="590" t="str">
        <f>'project budget'!B43</f>
        <v>Energy Assessment</v>
      </c>
      <c r="C43" s="157">
        <f>'project budget'!C43</f>
        <v>0</v>
      </c>
      <c r="D43" s="97" t="e">
        <f t="shared" si="18"/>
        <v>#DIV/0!</v>
      </c>
      <c r="E43" s="97" t="e">
        <f t="shared" si="19"/>
        <v>#DIV/0!</v>
      </c>
      <c r="F43" s="97" t="e">
        <f>D43/'rent summary'!$D$25</f>
        <v>#DIV/0!</v>
      </c>
      <c r="G43" s="140" t="e">
        <f>C43/rents!$R$105</f>
        <v>#DIV/0!</v>
      </c>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97">
        <f t="shared" si="16"/>
        <v>0</v>
      </c>
      <c r="AT43" s="97">
        <f t="shared" si="17"/>
        <v>0</v>
      </c>
    </row>
    <row r="44" spans="1:46">
      <c r="B44" s="590" t="str">
        <f>'project budget'!B44</f>
        <v>Permits/Fees</v>
      </c>
      <c r="C44" s="157">
        <f>'project budget'!C44</f>
        <v>0</v>
      </c>
      <c r="D44" s="97" t="e">
        <f t="shared" si="18"/>
        <v>#DIV/0!</v>
      </c>
      <c r="E44" s="97" t="e">
        <f t="shared" si="19"/>
        <v>#DIV/0!</v>
      </c>
      <c r="F44" s="97" t="e">
        <f>D44/'rent summary'!$D$25</f>
        <v>#DIV/0!</v>
      </c>
      <c r="G44" s="140" t="e">
        <f>C44/rents!$R$105</f>
        <v>#DIV/0!</v>
      </c>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97">
        <f t="shared" si="16"/>
        <v>0</v>
      </c>
      <c r="AT44" s="97">
        <f t="shared" si="17"/>
        <v>0</v>
      </c>
    </row>
    <row r="45" spans="1:46">
      <c r="B45" s="590" t="str">
        <f>'project budget'!B45</f>
        <v>Market Study</v>
      </c>
      <c r="C45" s="157">
        <f>'project budget'!C45</f>
        <v>0</v>
      </c>
      <c r="D45" s="97" t="e">
        <f t="shared" si="18"/>
        <v>#DIV/0!</v>
      </c>
      <c r="E45" s="97" t="e">
        <f t="shared" si="19"/>
        <v>#DIV/0!</v>
      </c>
      <c r="F45" s="97" t="e">
        <f>D45/'rent summary'!$D$25</f>
        <v>#DIV/0!</v>
      </c>
      <c r="G45" s="140" t="e">
        <f>C45/rents!$R$105</f>
        <v>#DIV/0!</v>
      </c>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97">
        <f t="shared" si="16"/>
        <v>0</v>
      </c>
      <c r="AT45" s="97">
        <f t="shared" si="17"/>
        <v>0</v>
      </c>
    </row>
    <row r="46" spans="1:46">
      <c r="B46" s="590" t="str">
        <f>'project budget'!B46</f>
        <v>Cost Certification</v>
      </c>
      <c r="C46" s="157">
        <f>'project budget'!C46</f>
        <v>0</v>
      </c>
      <c r="D46" s="97" t="e">
        <f t="shared" si="18"/>
        <v>#DIV/0!</v>
      </c>
      <c r="E46" s="97" t="e">
        <f t="shared" si="19"/>
        <v>#DIV/0!</v>
      </c>
      <c r="F46" s="97" t="e">
        <f>D46/'rent summary'!$D$25</f>
        <v>#DIV/0!</v>
      </c>
      <c r="G46" s="140" t="e">
        <f>C46/rents!$R$105</f>
        <v>#DIV/0!</v>
      </c>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97">
        <f t="shared" si="16"/>
        <v>0</v>
      </c>
      <c r="AT46" s="97">
        <f t="shared" si="17"/>
        <v>0</v>
      </c>
    </row>
    <row r="47" spans="1:46">
      <c r="B47" s="590" t="str">
        <f>'project budget'!B47</f>
        <v>Capital Needs Assessment</v>
      </c>
      <c r="C47" s="157">
        <f>'project budget'!C47</f>
        <v>0</v>
      </c>
      <c r="D47" s="97" t="e">
        <f t="shared" si="18"/>
        <v>#DIV/0!</v>
      </c>
      <c r="E47" s="97" t="e">
        <f t="shared" si="19"/>
        <v>#DIV/0!</v>
      </c>
      <c r="F47" s="97" t="e">
        <f>D47/'rent summary'!$D$25</f>
        <v>#DIV/0!</v>
      </c>
      <c r="G47" s="140" t="e">
        <f>C47/rents!$R$105</f>
        <v>#DIV/0!</v>
      </c>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97">
        <f t="shared" si="16"/>
        <v>0</v>
      </c>
      <c r="AT47" s="97">
        <f t="shared" si="17"/>
        <v>0</v>
      </c>
    </row>
    <row r="48" spans="1:46">
      <c r="B48" s="590" t="str">
        <f>'project budget'!B48</f>
        <v>Construction Period Insurance</v>
      </c>
      <c r="C48" s="157">
        <f>'project budget'!C48</f>
        <v>0</v>
      </c>
      <c r="D48" s="97" t="e">
        <f t="shared" si="18"/>
        <v>#DIV/0!</v>
      </c>
      <c r="E48" s="97" t="e">
        <f t="shared" si="19"/>
        <v>#DIV/0!</v>
      </c>
      <c r="F48" s="97" t="e">
        <f>D48/'rent summary'!$D$25</f>
        <v>#DIV/0!</v>
      </c>
      <c r="G48" s="140" t="e">
        <f>C48/rents!$R$105</f>
        <v>#DIV/0!</v>
      </c>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97">
        <f t="shared" si="16"/>
        <v>0</v>
      </c>
      <c r="AT48" s="97">
        <f t="shared" si="17"/>
        <v>0</v>
      </c>
    </row>
    <row r="49" spans="2:46">
      <c r="B49" s="590" t="str">
        <f>'project budget'!B49</f>
        <v>Construction Loan Interest</v>
      </c>
      <c r="C49" s="157">
        <f>'project budget'!C49</f>
        <v>0</v>
      </c>
      <c r="D49" s="97" t="e">
        <f t="shared" si="18"/>
        <v>#DIV/0!</v>
      </c>
      <c r="E49" s="97" t="e">
        <f t="shared" si="19"/>
        <v>#DIV/0!</v>
      </c>
      <c r="F49" s="97" t="e">
        <f>D49/'rent summary'!$D$25</f>
        <v>#DIV/0!</v>
      </c>
      <c r="G49" s="140" t="e">
        <f>C49/rents!$R$105</f>
        <v>#DIV/0!</v>
      </c>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97">
        <f t="shared" si="16"/>
        <v>0</v>
      </c>
      <c r="AT49" s="97">
        <f t="shared" si="17"/>
        <v>0</v>
      </c>
    </row>
    <row r="50" spans="2:46">
      <c r="B50" s="590" t="str">
        <f>'project budget'!B50</f>
        <v>Construction Loan Origination Fee</v>
      </c>
      <c r="C50" s="157">
        <f>'project budget'!C50</f>
        <v>0</v>
      </c>
      <c r="D50" s="97" t="e">
        <f t="shared" si="18"/>
        <v>#DIV/0!</v>
      </c>
      <c r="E50" s="97" t="e">
        <f t="shared" si="19"/>
        <v>#DIV/0!</v>
      </c>
      <c r="F50" s="97" t="e">
        <f>D50/'rent summary'!$D$25</f>
        <v>#DIV/0!</v>
      </c>
      <c r="G50" s="140" t="e">
        <f>C50/rents!$R$105</f>
        <v>#DIV/0!</v>
      </c>
      <c r="H50" s="55"/>
      <c r="I50" s="55"/>
      <c r="J50" s="55"/>
      <c r="K50" s="55"/>
      <c r="L50" s="55"/>
      <c r="M50" s="55"/>
      <c r="N50" s="55"/>
      <c r="O50" s="55"/>
      <c r="P50" s="55"/>
      <c r="Q50" s="55"/>
      <c r="R50" s="55"/>
      <c r="S50" s="55"/>
      <c r="T50" s="55"/>
      <c r="U50" s="55"/>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97">
        <f t="shared" si="16"/>
        <v>0</v>
      </c>
      <c r="AT50" s="97">
        <f t="shared" si="17"/>
        <v>0</v>
      </c>
    </row>
    <row r="51" spans="2:46">
      <c r="B51" s="590" t="str">
        <f>'project budget'!B51</f>
        <v>Taxes During Construction</v>
      </c>
      <c r="C51" s="157">
        <f>'project budget'!C51</f>
        <v>0</v>
      </c>
      <c r="D51" s="97" t="e">
        <f t="shared" si="18"/>
        <v>#DIV/0!</v>
      </c>
      <c r="E51" s="97" t="e">
        <f t="shared" si="19"/>
        <v>#DIV/0!</v>
      </c>
      <c r="F51" s="97" t="e">
        <f>D51/'rent summary'!$D$25</f>
        <v>#DIV/0!</v>
      </c>
      <c r="G51" s="140" t="e">
        <f>C51/rents!$R$105</f>
        <v>#DIV/0!</v>
      </c>
      <c r="H51" s="55"/>
      <c r="I51" s="55"/>
      <c r="J51" s="55"/>
      <c r="K51" s="55"/>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97">
        <f t="shared" si="16"/>
        <v>0</v>
      </c>
      <c r="AT51" s="97">
        <f t="shared" si="17"/>
        <v>0</v>
      </c>
    </row>
    <row r="52" spans="2:46">
      <c r="B52" s="590" t="str">
        <f>'project budget'!B52</f>
        <v>Clerk of the Works</v>
      </c>
      <c r="C52" s="157">
        <f>'project budget'!C52</f>
        <v>0</v>
      </c>
      <c r="D52" s="97" t="e">
        <f t="shared" si="18"/>
        <v>#DIV/0!</v>
      </c>
      <c r="E52" s="97" t="e">
        <f t="shared" si="19"/>
        <v>#DIV/0!</v>
      </c>
      <c r="F52" s="97" t="e">
        <f>D52/'rent summary'!$D$25</f>
        <v>#DIV/0!</v>
      </c>
      <c r="G52" s="140" t="e">
        <f>C52/rents!$R$105</f>
        <v>#DIV/0!</v>
      </c>
      <c r="H52" s="55"/>
      <c r="I52" s="55"/>
      <c r="J52" s="55"/>
      <c r="K52" s="55"/>
      <c r="L52" s="5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97">
        <f t="shared" si="16"/>
        <v>0</v>
      </c>
      <c r="AT52" s="97">
        <f t="shared" si="17"/>
        <v>0</v>
      </c>
    </row>
    <row r="53" spans="2:46">
      <c r="B53" s="590" t="str">
        <f>'project budget'!B53</f>
        <v>Marketing</v>
      </c>
      <c r="C53" s="157">
        <f>'project budget'!C53</f>
        <v>0</v>
      </c>
      <c r="D53" s="97" t="e">
        <f t="shared" si="18"/>
        <v>#DIV/0!</v>
      </c>
      <c r="E53" s="97" t="e">
        <f t="shared" si="19"/>
        <v>#DIV/0!</v>
      </c>
      <c r="F53" s="97" t="e">
        <f>D53/'rent summary'!$D$25</f>
        <v>#DIV/0!</v>
      </c>
      <c r="G53" s="140" t="e">
        <f>C53/rents!$R$105</f>
        <v>#DIV/0!</v>
      </c>
      <c r="H53" s="55"/>
      <c r="I53" s="55"/>
      <c r="J53" s="55"/>
      <c r="K53" s="55"/>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97">
        <f t="shared" si="16"/>
        <v>0</v>
      </c>
      <c r="AT53" s="97">
        <f t="shared" si="17"/>
        <v>0</v>
      </c>
    </row>
    <row r="54" spans="2:46">
      <c r="B54" s="590" t="str">
        <f>'project budget'!B54</f>
        <v>Tax Credit Fees</v>
      </c>
      <c r="C54" s="157">
        <f>'project budget'!C54</f>
        <v>0</v>
      </c>
      <c r="D54" s="97" t="e">
        <f t="shared" si="18"/>
        <v>#DIV/0!</v>
      </c>
      <c r="E54" s="97" t="e">
        <f t="shared" si="19"/>
        <v>#DIV/0!</v>
      </c>
      <c r="F54" s="97" t="e">
        <f>D54/'rent summary'!$D$25</f>
        <v>#DIV/0!</v>
      </c>
      <c r="G54" s="140" t="e">
        <f>C54/rents!$R$105</f>
        <v>#DIV/0!</v>
      </c>
      <c r="H54" s="55"/>
      <c r="I54" s="55"/>
      <c r="J54" s="55"/>
      <c r="K54" s="55"/>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97">
        <f t="shared" si="16"/>
        <v>0</v>
      </c>
      <c r="AT54" s="97">
        <f t="shared" si="17"/>
        <v>0</v>
      </c>
    </row>
    <row r="55" spans="2:46">
      <c r="B55" s="590" t="str">
        <f>'project budget'!B55</f>
        <v>Soft Cost Contingency</v>
      </c>
      <c r="C55" s="157">
        <f>'project budget'!C55</f>
        <v>0</v>
      </c>
      <c r="D55" s="97" t="e">
        <f t="shared" si="18"/>
        <v>#DIV/0!</v>
      </c>
      <c r="E55" s="97" t="e">
        <f t="shared" si="19"/>
        <v>#DIV/0!</v>
      </c>
      <c r="F55" s="97" t="e">
        <f>D55/'rent summary'!$D$25</f>
        <v>#DIV/0!</v>
      </c>
      <c r="G55" s="140" t="e">
        <f>C55/rents!$R$105</f>
        <v>#DIV/0!</v>
      </c>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97">
        <f t="shared" si="16"/>
        <v>0</v>
      </c>
      <c r="AT55" s="97">
        <f t="shared" si="17"/>
        <v>0</v>
      </c>
    </row>
    <row r="56" spans="2:46">
      <c r="B56" s="590" t="str">
        <f>'project budget'!B56</f>
        <v>Permanent Loan Origination Fee</v>
      </c>
      <c r="C56" s="157">
        <f>'project budget'!C56</f>
        <v>0</v>
      </c>
      <c r="D56" s="97" t="e">
        <f t="shared" si="18"/>
        <v>#DIV/0!</v>
      </c>
      <c r="E56" s="97" t="e">
        <f t="shared" si="19"/>
        <v>#DIV/0!</v>
      </c>
      <c r="F56" s="97" t="e">
        <f>D56/'rent summary'!$D$25</f>
        <v>#DIV/0!</v>
      </c>
      <c r="G56" s="140" t="e">
        <f>C56/rents!$R$105</f>
        <v>#DIV/0!</v>
      </c>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97">
        <f t="shared" si="16"/>
        <v>0</v>
      </c>
      <c r="AT56" s="97">
        <f t="shared" si="17"/>
        <v>0</v>
      </c>
    </row>
    <row r="57" spans="2:46">
      <c r="B57" s="590" t="str">
        <f>'project budget'!B57</f>
        <v>Lender's Counsel's Fee</v>
      </c>
      <c r="C57" s="157">
        <f>'project budget'!C57</f>
        <v>0</v>
      </c>
      <c r="D57" s="97" t="e">
        <f t="shared" si="18"/>
        <v>#DIV/0!</v>
      </c>
      <c r="E57" s="97" t="e">
        <f t="shared" si="19"/>
        <v>#DIV/0!</v>
      </c>
      <c r="F57" s="97" t="e">
        <f>D57/'rent summary'!$D$25</f>
        <v>#DIV/0!</v>
      </c>
      <c r="G57" s="140" t="e">
        <f>C57/rents!$R$105</f>
        <v>#DIV/0!</v>
      </c>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97">
        <f t="shared" si="16"/>
        <v>0</v>
      </c>
      <c r="AT57" s="97">
        <f t="shared" si="17"/>
        <v>0</v>
      </c>
    </row>
    <row r="58" spans="2:46" ht="14.4" outlineLevel="1">
      <c r="B58" s="665" t="str">
        <f>'project budget'!B58</f>
        <v>[Additional Field - Specify]</v>
      </c>
      <c r="C58" s="157">
        <f>'project budget'!C58</f>
        <v>0</v>
      </c>
      <c r="D58" s="97" t="e">
        <f t="shared" si="18"/>
        <v>#DIV/0!</v>
      </c>
      <c r="E58" s="97" t="e">
        <f t="shared" si="19"/>
        <v>#DIV/0!</v>
      </c>
      <c r="F58" s="97" t="e">
        <f>D58/'rent summary'!$D$25</f>
        <v>#DIV/0!</v>
      </c>
      <c r="G58" s="140" t="e">
        <f>C58/rents!$R$105</f>
        <v>#DIV/0!</v>
      </c>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97">
        <f t="shared" si="16"/>
        <v>0</v>
      </c>
      <c r="AT58" s="97">
        <f t="shared" si="17"/>
        <v>0</v>
      </c>
    </row>
    <row r="59" spans="2:46" ht="14.4" outlineLevel="1">
      <c r="B59" s="665" t="str">
        <f>'project budget'!B59</f>
        <v>[Additional Field - Specify]</v>
      </c>
      <c r="C59" s="157">
        <f>'project budget'!C59</f>
        <v>0</v>
      </c>
      <c r="D59" s="97" t="e">
        <f t="shared" si="18"/>
        <v>#DIV/0!</v>
      </c>
      <c r="E59" s="97" t="e">
        <f t="shared" si="19"/>
        <v>#DIV/0!</v>
      </c>
      <c r="F59" s="97" t="e">
        <f>D59/'rent summary'!$D$25</f>
        <v>#DIV/0!</v>
      </c>
      <c r="G59" s="140" t="e">
        <f>C59/rents!$R$105</f>
        <v>#DIV/0!</v>
      </c>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97">
        <f t="shared" si="16"/>
        <v>0</v>
      </c>
      <c r="AT59" s="97">
        <f t="shared" si="17"/>
        <v>0</v>
      </c>
    </row>
    <row r="60" spans="2:46" ht="14.4" outlineLevel="1">
      <c r="B60" s="665" t="str">
        <f>'project budget'!B60</f>
        <v>[Additional Field - Specify]</v>
      </c>
      <c r="C60" s="157">
        <f>'project budget'!C60</f>
        <v>0</v>
      </c>
      <c r="D60" s="97" t="e">
        <f t="shared" si="18"/>
        <v>#DIV/0!</v>
      </c>
      <c r="E60" s="97" t="e">
        <f t="shared" si="19"/>
        <v>#DIV/0!</v>
      </c>
      <c r="F60" s="97" t="e">
        <f>D60/'rent summary'!$D$25</f>
        <v>#DIV/0!</v>
      </c>
      <c r="G60" s="140" t="e">
        <f>C60/rents!$R$105</f>
        <v>#DIV/0!</v>
      </c>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97">
        <f t="shared" si="16"/>
        <v>0</v>
      </c>
      <c r="AT60" s="97">
        <f t="shared" si="17"/>
        <v>0</v>
      </c>
    </row>
    <row r="61" spans="2:46" ht="14.4" outlineLevel="1">
      <c r="B61" s="665" t="str">
        <f>'project budget'!B61</f>
        <v>[Additional Field - Specify]</v>
      </c>
      <c r="C61" s="157">
        <f>'project budget'!C61</f>
        <v>0</v>
      </c>
      <c r="D61" s="97" t="e">
        <f t="shared" si="18"/>
        <v>#DIV/0!</v>
      </c>
      <c r="E61" s="97" t="e">
        <f t="shared" si="19"/>
        <v>#DIV/0!</v>
      </c>
      <c r="F61" s="97" t="e">
        <f>D61/'rent summary'!$D$25</f>
        <v>#DIV/0!</v>
      </c>
      <c r="G61" s="140" t="e">
        <f>C61/rents!$R$105</f>
        <v>#DIV/0!</v>
      </c>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97">
        <f t="shared" si="16"/>
        <v>0</v>
      </c>
      <c r="AT61" s="97">
        <f t="shared" si="17"/>
        <v>0</v>
      </c>
    </row>
    <row r="62" spans="2:46" ht="14.4" outlineLevel="1">
      <c r="B62" s="665" t="str">
        <f>'project budget'!B62</f>
        <v>[Additional Field - Specify]</v>
      </c>
      <c r="C62" s="157">
        <f>'project budget'!C62</f>
        <v>0</v>
      </c>
      <c r="D62" s="97" t="e">
        <f t="shared" si="18"/>
        <v>#DIV/0!</v>
      </c>
      <c r="E62" s="97" t="e">
        <f t="shared" si="19"/>
        <v>#DIV/0!</v>
      </c>
      <c r="F62" s="97" t="e">
        <f>D62/'rent summary'!$D$25</f>
        <v>#DIV/0!</v>
      </c>
      <c r="G62" s="140" t="e">
        <f>C62/rents!$R$105</f>
        <v>#DIV/0!</v>
      </c>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97">
        <f t="shared" si="16"/>
        <v>0</v>
      </c>
      <c r="AT62" s="97">
        <f t="shared" si="17"/>
        <v>0</v>
      </c>
    </row>
    <row r="63" spans="2:46" ht="14.4" outlineLevel="1">
      <c r="B63" s="665" t="str">
        <f>'project budget'!B63</f>
        <v>[Additional Field - Specify]</v>
      </c>
      <c r="C63" s="157">
        <f>'project budget'!C63</f>
        <v>0</v>
      </c>
      <c r="D63" s="97" t="e">
        <f t="shared" si="18"/>
        <v>#DIV/0!</v>
      </c>
      <c r="E63" s="97" t="e">
        <f t="shared" si="19"/>
        <v>#DIV/0!</v>
      </c>
      <c r="F63" s="97" t="e">
        <f>D63/'rent summary'!$D$25</f>
        <v>#DIV/0!</v>
      </c>
      <c r="G63" s="140" t="e">
        <f>C63/rents!$R$105</f>
        <v>#DIV/0!</v>
      </c>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97">
        <f t="shared" si="16"/>
        <v>0</v>
      </c>
      <c r="AT63" s="97">
        <f t="shared" si="17"/>
        <v>0</v>
      </c>
    </row>
    <row r="64" spans="2:46" ht="14.4" outlineLevel="1">
      <c r="B64" s="665" t="str">
        <f>'project budget'!B64</f>
        <v>[Additional Field - Specify]</v>
      </c>
      <c r="C64" s="157">
        <f>'project budget'!C64</f>
        <v>0</v>
      </c>
      <c r="D64" s="97" t="e">
        <f t="shared" si="18"/>
        <v>#DIV/0!</v>
      </c>
      <c r="E64" s="97" t="e">
        <f t="shared" si="19"/>
        <v>#DIV/0!</v>
      </c>
      <c r="F64" s="97" t="e">
        <f>D64/'rent summary'!$D$25</f>
        <v>#DIV/0!</v>
      </c>
      <c r="G64" s="140" t="e">
        <f>C64/rents!$R$105</f>
        <v>#DIV/0!</v>
      </c>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97">
        <f t="shared" si="16"/>
        <v>0</v>
      </c>
      <c r="AT64" s="97">
        <f t="shared" si="17"/>
        <v>0</v>
      </c>
    </row>
    <row r="65" spans="1:46" ht="14.4" outlineLevel="1">
      <c r="B65" s="665" t="str">
        <f>'project budget'!B65</f>
        <v>[Additional Field - Specify]</v>
      </c>
      <c r="C65" s="157">
        <f>'project budget'!C65</f>
        <v>0</v>
      </c>
      <c r="D65" s="97" t="e">
        <f t="shared" si="18"/>
        <v>#DIV/0!</v>
      </c>
      <c r="E65" s="97" t="e">
        <f t="shared" si="19"/>
        <v>#DIV/0!</v>
      </c>
      <c r="F65" s="97" t="e">
        <f>D65/'rent summary'!$D$25</f>
        <v>#DIV/0!</v>
      </c>
      <c r="G65" s="140" t="e">
        <f>C65/rents!$R$105</f>
        <v>#DIV/0!</v>
      </c>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97">
        <f t="shared" si="16"/>
        <v>0</v>
      </c>
      <c r="AT65" s="97">
        <f t="shared" si="17"/>
        <v>0</v>
      </c>
    </row>
    <row r="66" spans="1:46" ht="14.4">
      <c r="A66" s="666"/>
      <c r="B66" s="667" t="s">
        <v>433</v>
      </c>
      <c r="C66" s="144">
        <f>SUM(C36:C65)</f>
        <v>0</v>
      </c>
      <c r="D66" s="144" t="e">
        <f>SUM(D36:D65)</f>
        <v>#DIV/0!</v>
      </c>
      <c r="E66" s="144" t="e">
        <f>SUM(E36:E65)</f>
        <v>#DIV/0!</v>
      </c>
      <c r="F66" s="141"/>
      <c r="G66" s="319"/>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row>
    <row r="67" spans="1:46">
      <c r="B67" s="591" t="s">
        <v>434</v>
      </c>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row>
    <row r="68" spans="1:46">
      <c r="B68" s="590" t="str">
        <f>'project budget'!B68</f>
        <v>Organizational (Partnership)</v>
      </c>
      <c r="C68" s="157">
        <f>'project budget'!C68</f>
        <v>0</v>
      </c>
      <c r="D68" s="97" t="e">
        <f t="shared" ref="D68:D82" si="20">C68*$D$2</f>
        <v>#DIV/0!</v>
      </c>
      <c r="E68" s="97" t="e">
        <f t="shared" ref="E68:E74" si="21">C68*$E$2</f>
        <v>#DIV/0!</v>
      </c>
      <c r="F68" s="97" t="e">
        <f>D68/'rent summary'!$D$25</f>
        <v>#DIV/0!</v>
      </c>
      <c r="G68" s="140" t="e">
        <f>C68/rents!$R$105</f>
        <v>#DIV/0!</v>
      </c>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97">
        <f t="shared" ref="AS68:AS74" si="22">SUM(H68:AR68)</f>
        <v>0</v>
      </c>
      <c r="AT68" s="97">
        <f t="shared" ref="AT68:AT74" si="23">AS68-C68</f>
        <v>0</v>
      </c>
    </row>
    <row r="69" spans="1:46">
      <c r="B69" s="590" t="str">
        <f>'project budget'!B69</f>
        <v>Bridge Loan Fees and Expenses</v>
      </c>
      <c r="C69" s="157">
        <f>'project budget'!C69</f>
        <v>0</v>
      </c>
      <c r="D69" s="97" t="e">
        <f t="shared" si="20"/>
        <v>#DIV/0!</v>
      </c>
      <c r="E69" s="97" t="e">
        <f t="shared" si="21"/>
        <v>#DIV/0!</v>
      </c>
      <c r="F69" s="97" t="e">
        <f>D69/'rent summary'!$D$25</f>
        <v>#DIV/0!</v>
      </c>
      <c r="G69" s="140" t="e">
        <f>C69/rents!$R$105</f>
        <v>#DIV/0!</v>
      </c>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97">
        <f t="shared" si="22"/>
        <v>0</v>
      </c>
      <c r="AT69" s="97">
        <f t="shared" si="23"/>
        <v>0</v>
      </c>
    </row>
    <row r="70" spans="1:46">
      <c r="B70" s="590" t="str">
        <f>'project budget'!B70</f>
        <v>Syndication Consultant</v>
      </c>
      <c r="C70" s="157">
        <f>'project budget'!C70</f>
        <v>0</v>
      </c>
      <c r="D70" s="97" t="e">
        <f t="shared" si="20"/>
        <v>#DIV/0!</v>
      </c>
      <c r="E70" s="97" t="e">
        <f t="shared" si="21"/>
        <v>#DIV/0!</v>
      </c>
      <c r="F70" s="97" t="e">
        <f>D70/'rent summary'!$D$25</f>
        <v>#DIV/0!</v>
      </c>
      <c r="G70" s="140" t="e">
        <f>C70/rents!$R$105</f>
        <v>#DIV/0!</v>
      </c>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97">
        <f t="shared" si="22"/>
        <v>0</v>
      </c>
      <c r="AT70" s="97">
        <f t="shared" si="23"/>
        <v>0</v>
      </c>
    </row>
    <row r="71" spans="1:46">
      <c r="B71" s="590" t="str">
        <f>'project budget'!B71</f>
        <v>Tax Opinion</v>
      </c>
      <c r="C71" s="157">
        <f>'project budget'!C71</f>
        <v>0</v>
      </c>
      <c r="D71" s="143" t="e">
        <f t="shared" si="20"/>
        <v>#DIV/0!</v>
      </c>
      <c r="E71" s="143" t="e">
        <f t="shared" si="21"/>
        <v>#DIV/0!</v>
      </c>
      <c r="F71" s="143" t="e">
        <f>D71/'rent summary'!$D$25</f>
        <v>#DIV/0!</v>
      </c>
      <c r="G71" s="140" t="e">
        <f>C71/rents!$R$105</f>
        <v>#DIV/0!</v>
      </c>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97">
        <f t="shared" si="22"/>
        <v>0</v>
      </c>
      <c r="AT71" s="97">
        <f t="shared" si="23"/>
        <v>0</v>
      </c>
    </row>
    <row r="72" spans="1:46" ht="14.4" outlineLevel="1">
      <c r="B72" s="665" t="str">
        <f>'project budget'!B72</f>
        <v>[Additional Field - Specify]</v>
      </c>
      <c r="C72" s="157">
        <f>'project budget'!C72</f>
        <v>0</v>
      </c>
      <c r="D72" s="143" t="e">
        <f t="shared" si="20"/>
        <v>#DIV/0!</v>
      </c>
      <c r="E72" s="143" t="e">
        <f t="shared" si="21"/>
        <v>#DIV/0!</v>
      </c>
      <c r="F72" s="143" t="e">
        <f>D72/'rent summary'!$D$25</f>
        <v>#DIV/0!</v>
      </c>
      <c r="G72" s="140" t="e">
        <f>C72/rents!$R$105</f>
        <v>#DIV/0!</v>
      </c>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97">
        <f t="shared" si="22"/>
        <v>0</v>
      </c>
      <c r="AT72" s="97">
        <f t="shared" si="23"/>
        <v>0</v>
      </c>
    </row>
    <row r="73" spans="1:46" ht="14.4" outlineLevel="1">
      <c r="B73" s="665" t="str">
        <f>'project budget'!B73</f>
        <v>[Additional Field - Specify]</v>
      </c>
      <c r="C73" s="157">
        <f>'project budget'!C73</f>
        <v>0</v>
      </c>
      <c r="D73" s="143" t="e">
        <f t="shared" si="20"/>
        <v>#DIV/0!</v>
      </c>
      <c r="E73" s="143" t="e">
        <f t="shared" si="21"/>
        <v>#DIV/0!</v>
      </c>
      <c r="F73" s="143" t="e">
        <f>D73/'rent summary'!$D$25</f>
        <v>#DIV/0!</v>
      </c>
      <c r="G73" s="140" t="e">
        <f>C73/rents!$R$105</f>
        <v>#DIV/0!</v>
      </c>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97">
        <f t="shared" si="22"/>
        <v>0</v>
      </c>
      <c r="AT73" s="97">
        <f t="shared" si="23"/>
        <v>0</v>
      </c>
    </row>
    <row r="74" spans="1:46" ht="14.4" outlineLevel="1">
      <c r="B74" s="665" t="str">
        <f>'project budget'!B74</f>
        <v>[Additional Field - Specify]</v>
      </c>
      <c r="C74" s="157">
        <f>'project budget'!C74</f>
        <v>0</v>
      </c>
      <c r="D74" s="143" t="e">
        <f t="shared" si="20"/>
        <v>#DIV/0!</v>
      </c>
      <c r="E74" s="143" t="e">
        <f t="shared" si="21"/>
        <v>#DIV/0!</v>
      </c>
      <c r="F74" s="143" t="e">
        <f>D74/'rent summary'!$D$25</f>
        <v>#DIV/0!</v>
      </c>
      <c r="G74" s="140" t="e">
        <f>C74/rents!$R$105</f>
        <v>#DIV/0!</v>
      </c>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97">
        <f t="shared" si="22"/>
        <v>0</v>
      </c>
      <c r="AT74" s="97">
        <f t="shared" si="23"/>
        <v>0</v>
      </c>
    </row>
    <row r="75" spans="1:46" ht="14.4">
      <c r="A75" s="666"/>
      <c r="B75" s="667" t="s">
        <v>439</v>
      </c>
      <c r="C75" s="144">
        <f>SUM(C68:C74)</f>
        <v>0</v>
      </c>
      <c r="D75" s="144" t="e">
        <f>SUM(D68:D74)</f>
        <v>#DIV/0!</v>
      </c>
      <c r="E75" s="144" t="e">
        <f>SUM(E68:E74)</f>
        <v>#DIV/0!</v>
      </c>
      <c r="F75" s="141"/>
      <c r="G75" s="319"/>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row>
    <row r="76" spans="1:46">
      <c r="B76" s="591" t="s">
        <v>440</v>
      </c>
      <c r="C76" s="105"/>
      <c r="D76" s="105"/>
      <c r="E76" s="105"/>
      <c r="F76" s="105"/>
      <c r="G76" s="321"/>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row>
    <row r="77" spans="1:46">
      <c r="B77" s="590" t="str">
        <f>'project budget'!B77</f>
        <v>Developer's Fees</v>
      </c>
      <c r="C77" s="157">
        <f>'project budget'!C77</f>
        <v>0</v>
      </c>
      <c r="D77" s="97" t="e">
        <f t="shared" si="20"/>
        <v>#DIV/0!</v>
      </c>
      <c r="E77" s="97" t="e">
        <f t="shared" ref="E77:E82" si="24">C77*$E$2</f>
        <v>#DIV/0!</v>
      </c>
      <c r="F77" s="97" t="e">
        <f>D77/'rent summary'!$D$25</f>
        <v>#DIV/0!</v>
      </c>
      <c r="G77" s="140" t="e">
        <f>C77/rents!$R$105</f>
        <v>#DIV/0!</v>
      </c>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97">
        <f t="shared" ref="AS77:AS82" si="25">SUM(H77:AM77)</f>
        <v>0</v>
      </c>
      <c r="AT77" s="97">
        <f t="shared" ref="AT77:AT82" si="26">AS77-C77</f>
        <v>0</v>
      </c>
    </row>
    <row r="78" spans="1:46">
      <c r="B78" s="590" t="str">
        <f>'project budget'!B78</f>
        <v>Other Partnership Fees</v>
      </c>
      <c r="C78" s="157">
        <f>'project budget'!C78</f>
        <v>0</v>
      </c>
      <c r="D78" s="97" t="e">
        <f t="shared" si="20"/>
        <v>#DIV/0!</v>
      </c>
      <c r="E78" s="97" t="e">
        <f t="shared" si="24"/>
        <v>#DIV/0!</v>
      </c>
      <c r="F78" s="97" t="e">
        <f>D78/'rent summary'!$D$25</f>
        <v>#DIV/0!</v>
      </c>
      <c r="G78" s="140" t="e">
        <f>C78/rents!$R$105</f>
        <v>#DIV/0!</v>
      </c>
      <c r="H78" s="55"/>
      <c r="I78" s="55"/>
      <c r="J78" s="55"/>
      <c r="K78" s="55"/>
      <c r="L78" s="55"/>
      <c r="M78" s="55"/>
      <c r="N78" s="55"/>
      <c r="O78" s="55"/>
      <c r="P78" s="55"/>
      <c r="Q78" s="55"/>
      <c r="R78" s="55"/>
      <c r="S78" s="55"/>
      <c r="T78" s="55"/>
      <c r="U78" s="55"/>
      <c r="V78" s="55"/>
      <c r="W78" s="55"/>
      <c r="X78" s="55"/>
      <c r="Y78" s="55"/>
      <c r="Z78" s="55"/>
      <c r="AA78" s="55"/>
      <c r="AB78" s="55"/>
      <c r="AC78" s="55"/>
      <c r="AD78" s="55"/>
      <c r="AE78" s="55"/>
      <c r="AF78" s="55"/>
      <c r="AG78" s="55"/>
      <c r="AH78" s="55"/>
      <c r="AI78" s="55"/>
      <c r="AJ78" s="55"/>
      <c r="AK78" s="55"/>
      <c r="AL78" s="55"/>
      <c r="AM78" s="55"/>
      <c r="AN78" s="55"/>
      <c r="AO78" s="55"/>
      <c r="AP78" s="55"/>
      <c r="AQ78" s="55"/>
      <c r="AR78" s="55"/>
      <c r="AS78" s="97">
        <f t="shared" si="25"/>
        <v>0</v>
      </c>
      <c r="AT78" s="97">
        <f t="shared" si="26"/>
        <v>0</v>
      </c>
    </row>
    <row r="79" spans="1:46">
      <c r="B79" s="590" t="str">
        <f>'project budget'!B79</f>
        <v>Consultant Fees</v>
      </c>
      <c r="C79" s="157">
        <f>'project budget'!C79</f>
        <v>0</v>
      </c>
      <c r="D79" s="143" t="e">
        <f t="shared" si="20"/>
        <v>#DIV/0!</v>
      </c>
      <c r="E79" s="143" t="e">
        <f t="shared" si="24"/>
        <v>#DIV/0!</v>
      </c>
      <c r="F79" s="143" t="e">
        <f>D79/'rent summary'!$D$25</f>
        <v>#DIV/0!</v>
      </c>
      <c r="G79" s="140" t="e">
        <f>C79/rents!$R$105</f>
        <v>#DIV/0!</v>
      </c>
      <c r="H79" s="55"/>
      <c r="I79" s="55"/>
      <c r="J79" s="55"/>
      <c r="K79" s="55"/>
      <c r="L79" s="55"/>
      <c r="M79" s="55"/>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97">
        <f t="shared" si="25"/>
        <v>0</v>
      </c>
      <c r="AT79" s="97">
        <f t="shared" si="26"/>
        <v>0</v>
      </c>
    </row>
    <row r="80" spans="1:46" ht="14.4" outlineLevel="1">
      <c r="B80" s="665" t="str">
        <f>'project budget'!B80</f>
        <v>[Additional Field - Specify]</v>
      </c>
      <c r="C80" s="157">
        <f>'project budget'!C80</f>
        <v>0</v>
      </c>
      <c r="D80" s="143" t="e">
        <f t="shared" si="20"/>
        <v>#DIV/0!</v>
      </c>
      <c r="E80" s="143" t="e">
        <f t="shared" si="24"/>
        <v>#DIV/0!</v>
      </c>
      <c r="F80" s="143" t="e">
        <f>D80/'rent summary'!$D$25</f>
        <v>#DIV/0!</v>
      </c>
      <c r="G80" s="140" t="e">
        <f>C80/rents!$R$105</f>
        <v>#DIV/0!</v>
      </c>
      <c r="H80" s="55"/>
      <c r="I80" s="55"/>
      <c r="J80" s="55"/>
      <c r="K80" s="55"/>
      <c r="L80" s="55"/>
      <c r="M80" s="55"/>
      <c r="N80" s="55"/>
      <c r="O80" s="55"/>
      <c r="P80" s="55"/>
      <c r="Q80" s="55"/>
      <c r="R80" s="55"/>
      <c r="S80" s="55"/>
      <c r="T80" s="55"/>
      <c r="U80" s="55"/>
      <c r="V80" s="55"/>
      <c r="W80" s="55"/>
      <c r="X80" s="55"/>
      <c r="Y80" s="55"/>
      <c r="Z80" s="55"/>
      <c r="AA80" s="55"/>
      <c r="AB80" s="55"/>
      <c r="AC80" s="55"/>
      <c r="AD80" s="55"/>
      <c r="AE80" s="55"/>
      <c r="AF80" s="55"/>
      <c r="AG80" s="55"/>
      <c r="AH80" s="55"/>
      <c r="AI80" s="55"/>
      <c r="AJ80" s="55"/>
      <c r="AK80" s="55"/>
      <c r="AL80" s="55"/>
      <c r="AM80" s="55"/>
      <c r="AN80" s="55"/>
      <c r="AO80" s="55"/>
      <c r="AP80" s="55"/>
      <c r="AQ80" s="55"/>
      <c r="AR80" s="55"/>
      <c r="AS80" s="97">
        <f t="shared" si="25"/>
        <v>0</v>
      </c>
      <c r="AT80" s="97">
        <f t="shared" si="26"/>
        <v>0</v>
      </c>
    </row>
    <row r="81" spans="1:48" ht="14.4" outlineLevel="1">
      <c r="B81" s="665" t="str">
        <f>'project budget'!B81</f>
        <v>[Additional Field - Specify]</v>
      </c>
      <c r="C81" s="157">
        <f>'project budget'!C81</f>
        <v>0</v>
      </c>
      <c r="D81" s="143" t="e">
        <f t="shared" si="20"/>
        <v>#DIV/0!</v>
      </c>
      <c r="E81" s="143" t="e">
        <f t="shared" si="24"/>
        <v>#DIV/0!</v>
      </c>
      <c r="F81" s="143" t="e">
        <f>D81/'rent summary'!$D$25</f>
        <v>#DIV/0!</v>
      </c>
      <c r="G81" s="140" t="e">
        <f>C81/rents!$R$105</f>
        <v>#DIV/0!</v>
      </c>
      <c r="H81" s="55"/>
      <c r="I81" s="55"/>
      <c r="J81" s="55"/>
      <c r="K81" s="55"/>
      <c r="L81" s="55"/>
      <c r="M81" s="55"/>
      <c r="N81" s="55"/>
      <c r="O81" s="55"/>
      <c r="P81" s="55"/>
      <c r="Q81" s="55"/>
      <c r="R81" s="55"/>
      <c r="S81" s="55"/>
      <c r="T81" s="55"/>
      <c r="U81" s="55"/>
      <c r="V81" s="55"/>
      <c r="W81" s="55"/>
      <c r="X81" s="55"/>
      <c r="Y81" s="55"/>
      <c r="Z81" s="55"/>
      <c r="AA81" s="55"/>
      <c r="AB81" s="55"/>
      <c r="AC81" s="55"/>
      <c r="AD81" s="55"/>
      <c r="AE81" s="55"/>
      <c r="AF81" s="55"/>
      <c r="AG81" s="55"/>
      <c r="AH81" s="55"/>
      <c r="AI81" s="55"/>
      <c r="AJ81" s="55"/>
      <c r="AK81" s="55"/>
      <c r="AL81" s="55"/>
      <c r="AM81" s="55"/>
      <c r="AN81" s="55"/>
      <c r="AO81" s="55"/>
      <c r="AP81" s="55"/>
      <c r="AQ81" s="55"/>
      <c r="AR81" s="55"/>
      <c r="AS81" s="97">
        <f t="shared" si="25"/>
        <v>0</v>
      </c>
      <c r="AT81" s="97">
        <f t="shared" si="26"/>
        <v>0</v>
      </c>
    </row>
    <row r="82" spans="1:48" ht="14.4" outlineLevel="1">
      <c r="B82" s="665" t="str">
        <f>'project budget'!B82</f>
        <v>[Additional Field - Specify]</v>
      </c>
      <c r="C82" s="157">
        <f>'project budget'!C82</f>
        <v>0</v>
      </c>
      <c r="D82" s="143" t="e">
        <f t="shared" si="20"/>
        <v>#DIV/0!</v>
      </c>
      <c r="E82" s="143" t="e">
        <f t="shared" si="24"/>
        <v>#DIV/0!</v>
      </c>
      <c r="F82" s="143" t="e">
        <f>D82/'rent summary'!$D$25</f>
        <v>#DIV/0!</v>
      </c>
      <c r="G82" s="140" t="e">
        <f>C82/rents!$R$105</f>
        <v>#DIV/0!</v>
      </c>
      <c r="H82" s="55"/>
      <c r="I82" s="55"/>
      <c r="J82" s="55"/>
      <c r="K82" s="55"/>
      <c r="L82" s="55"/>
      <c r="M82" s="55"/>
      <c r="N82" s="55"/>
      <c r="O82" s="55"/>
      <c r="P82" s="55"/>
      <c r="Q82" s="55"/>
      <c r="R82" s="55"/>
      <c r="S82" s="55"/>
      <c r="T82" s="55"/>
      <c r="U82" s="55"/>
      <c r="V82" s="55"/>
      <c r="W82" s="55"/>
      <c r="X82" s="55"/>
      <c r="Y82" s="55"/>
      <c r="Z82" s="55"/>
      <c r="AA82" s="55"/>
      <c r="AB82" s="55"/>
      <c r="AC82" s="55"/>
      <c r="AD82" s="55"/>
      <c r="AE82" s="55"/>
      <c r="AF82" s="55"/>
      <c r="AG82" s="55"/>
      <c r="AH82" s="55"/>
      <c r="AI82" s="55"/>
      <c r="AJ82" s="55"/>
      <c r="AK82" s="55"/>
      <c r="AL82" s="55"/>
      <c r="AM82" s="55"/>
      <c r="AN82" s="55"/>
      <c r="AO82" s="55"/>
      <c r="AP82" s="55"/>
      <c r="AQ82" s="55"/>
      <c r="AR82" s="55"/>
      <c r="AS82" s="97">
        <f t="shared" si="25"/>
        <v>0</v>
      </c>
      <c r="AT82" s="97">
        <f t="shared" si="26"/>
        <v>0</v>
      </c>
    </row>
    <row r="83" spans="1:48" ht="14.4">
      <c r="A83" s="666"/>
      <c r="B83" s="667" t="s">
        <v>444</v>
      </c>
      <c r="C83" s="144">
        <f>SUM(C77:C82)</f>
        <v>0</v>
      </c>
      <c r="D83" s="144" t="e">
        <f>SUM(D77:D82)</f>
        <v>#DIV/0!</v>
      </c>
      <c r="E83" s="144" t="e">
        <f>SUM(E77:E82)</f>
        <v>#DIV/0!</v>
      </c>
      <c r="F83" s="141"/>
      <c r="G83" s="319"/>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row>
    <row r="84" spans="1:48">
      <c r="B84" s="591" t="s">
        <v>445</v>
      </c>
      <c r="C84" s="105"/>
      <c r="D84" s="105"/>
      <c r="E84" s="105"/>
      <c r="F84" s="105"/>
      <c r="G84" s="321"/>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row>
    <row r="85" spans="1:48">
      <c r="B85" s="590" t="str">
        <f>'project budget'!B85</f>
        <v>Working Capital</v>
      </c>
      <c r="C85" s="157">
        <f>'project budget'!C85</f>
        <v>0</v>
      </c>
      <c r="D85" s="97" t="e">
        <f>C85*$D$2</f>
        <v>#DIV/0!</v>
      </c>
      <c r="E85" s="97" t="e">
        <f>C85*$E$2</f>
        <v>#DIV/0!</v>
      </c>
      <c r="F85" s="97" t="e">
        <f>D85/'rent summary'!$D$25</f>
        <v>#DIV/0!</v>
      </c>
      <c r="G85" s="140" t="e">
        <f>C85/rents!$R$105</f>
        <v>#DIV/0!</v>
      </c>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97">
        <f t="shared" ref="AS85:AS90" si="27">SUM(H85:AM85)</f>
        <v>0</v>
      </c>
      <c r="AT85" s="97">
        <f t="shared" ref="AT85:AT90" si="28">AS85-C85</f>
        <v>0</v>
      </c>
      <c r="AU85" s="655"/>
    </row>
    <row r="86" spans="1:48">
      <c r="B86" s="590" t="str">
        <f>'project budget'!B86</f>
        <v>Rent-up (Deficit Escrow) Reserve</v>
      </c>
      <c r="C86" s="157">
        <f>'project budget'!C86</f>
        <v>0</v>
      </c>
      <c r="D86" s="96" t="e">
        <f>C86*$D$2</f>
        <v>#DIV/0!</v>
      </c>
      <c r="E86" s="97" t="e">
        <f t="shared" ref="E86:E87" si="29">C86*$E$2</f>
        <v>#DIV/0!</v>
      </c>
      <c r="F86" s="97" t="e">
        <f>D86/'rent summary'!$D$25</f>
        <v>#DIV/0!</v>
      </c>
      <c r="G86" s="140" t="e">
        <f>C86/rents!$R$105</f>
        <v>#DIV/0!</v>
      </c>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c r="AN86" s="55"/>
      <c r="AO86" s="55"/>
      <c r="AP86" s="55"/>
      <c r="AQ86" s="55"/>
      <c r="AR86" s="55"/>
      <c r="AS86" s="97">
        <f t="shared" si="27"/>
        <v>0</v>
      </c>
      <c r="AT86" s="97">
        <f t="shared" si="28"/>
        <v>0</v>
      </c>
      <c r="AU86" s="655"/>
    </row>
    <row r="87" spans="1:48">
      <c r="B87" s="590" t="str">
        <f>'project budget'!B87</f>
        <v>Operating Reserves</v>
      </c>
      <c r="C87" s="157">
        <f>'project budget'!C87</f>
        <v>0</v>
      </c>
      <c r="D87" s="97" t="e">
        <f t="shared" ref="D87:D88" si="30">C87*$D$2</f>
        <v>#DIV/0!</v>
      </c>
      <c r="E87" s="97" t="e">
        <f t="shared" si="29"/>
        <v>#DIV/0!</v>
      </c>
      <c r="F87" s="97" t="e">
        <f>D87/'rent summary'!$D$25</f>
        <v>#DIV/0!</v>
      </c>
      <c r="G87" s="140" t="e">
        <f>C87/rents!$R$105</f>
        <v>#DIV/0!</v>
      </c>
      <c r="H87" s="55"/>
      <c r="I87" s="55"/>
      <c r="J87" s="55"/>
      <c r="K87" s="55"/>
      <c r="L87" s="55"/>
      <c r="M87" s="55"/>
      <c r="N87" s="55"/>
      <c r="O87" s="55"/>
      <c r="P87" s="55"/>
      <c r="Q87" s="55"/>
      <c r="R87" s="55"/>
      <c r="S87" s="55"/>
      <c r="T87" s="55"/>
      <c r="U87" s="55"/>
      <c r="V87" s="55"/>
      <c r="W87" s="55"/>
      <c r="X87" s="55"/>
      <c r="Y87" s="55"/>
      <c r="Z87" s="55"/>
      <c r="AA87" s="55"/>
      <c r="AB87" s="55"/>
      <c r="AC87" s="55"/>
      <c r="AD87" s="55"/>
      <c r="AE87" s="55"/>
      <c r="AF87" s="55"/>
      <c r="AG87" s="55"/>
      <c r="AH87" s="55"/>
      <c r="AI87" s="55"/>
      <c r="AJ87" s="55"/>
      <c r="AK87" s="55"/>
      <c r="AL87" s="55"/>
      <c r="AM87" s="55"/>
      <c r="AN87" s="55"/>
      <c r="AO87" s="55"/>
      <c r="AP87" s="55"/>
      <c r="AQ87" s="55"/>
      <c r="AR87" s="55"/>
      <c r="AS87" s="97">
        <f t="shared" si="27"/>
        <v>0</v>
      </c>
      <c r="AT87" s="97">
        <f t="shared" si="28"/>
        <v>0</v>
      </c>
      <c r="AU87" s="655"/>
    </row>
    <row r="88" spans="1:48">
      <c r="B88" s="590" t="str">
        <f>'project budget'!B88</f>
        <v>Replacement Reserves</v>
      </c>
      <c r="C88" s="157">
        <f>'project budget'!C88</f>
        <v>0</v>
      </c>
      <c r="D88" s="143" t="e">
        <f t="shared" si="30"/>
        <v>#DIV/0!</v>
      </c>
      <c r="E88" s="97" t="e">
        <f>C88*$E$2</f>
        <v>#DIV/0!</v>
      </c>
      <c r="F88" s="143" t="e">
        <f>D88/'rent summary'!$D$25</f>
        <v>#DIV/0!</v>
      </c>
      <c r="G88" s="140" t="e">
        <f>C88/rents!$R$105</f>
        <v>#DIV/0!</v>
      </c>
      <c r="H88" s="55"/>
      <c r="I88" s="55"/>
      <c r="J88" s="55"/>
      <c r="K88" s="55"/>
      <c r="L88" s="55"/>
      <c r="M88" s="55"/>
      <c r="N88" s="55"/>
      <c r="O88" s="55"/>
      <c r="P88" s="55"/>
      <c r="Q88" s="55"/>
      <c r="R88" s="55"/>
      <c r="S88" s="55"/>
      <c r="T88" s="55"/>
      <c r="U88" s="55"/>
      <c r="V88" s="55"/>
      <c r="W88" s="55"/>
      <c r="X88" s="55"/>
      <c r="Y88" s="55"/>
      <c r="Z88" s="55"/>
      <c r="AA88" s="55"/>
      <c r="AB88" s="55"/>
      <c r="AC88" s="55"/>
      <c r="AD88" s="55"/>
      <c r="AE88" s="55"/>
      <c r="AF88" s="55"/>
      <c r="AG88" s="55"/>
      <c r="AH88" s="55"/>
      <c r="AI88" s="55"/>
      <c r="AJ88" s="55"/>
      <c r="AK88" s="55"/>
      <c r="AL88" s="55"/>
      <c r="AM88" s="55"/>
      <c r="AN88" s="55"/>
      <c r="AO88" s="55"/>
      <c r="AP88" s="55"/>
      <c r="AQ88" s="55"/>
      <c r="AR88" s="55"/>
      <c r="AS88" s="97">
        <f t="shared" si="27"/>
        <v>0</v>
      </c>
      <c r="AT88" s="97">
        <f t="shared" si="28"/>
        <v>0</v>
      </c>
      <c r="AU88" s="655"/>
    </row>
    <row r="89" spans="1:48" ht="14.4" outlineLevel="1">
      <c r="B89" s="665" t="str">
        <f>'project budget'!B89</f>
        <v>[Additional Field - Specify]</v>
      </c>
      <c r="C89" s="157">
        <f>'project budget'!C89</f>
        <v>0</v>
      </c>
      <c r="D89" s="143" t="e">
        <f>C89*$D$2</f>
        <v>#DIV/0!</v>
      </c>
      <c r="E89" s="97" t="e">
        <f>C89*$E$2</f>
        <v>#DIV/0!</v>
      </c>
      <c r="F89" s="143" t="e">
        <f>D89/'rent summary'!$D$25</f>
        <v>#DIV/0!</v>
      </c>
      <c r="G89" s="140" t="e">
        <f>C89/rents!$R$105</f>
        <v>#DIV/0!</v>
      </c>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97">
        <f t="shared" si="27"/>
        <v>0</v>
      </c>
      <c r="AT89" s="97">
        <f t="shared" si="28"/>
        <v>0</v>
      </c>
      <c r="AU89" s="655"/>
    </row>
    <row r="90" spans="1:48" ht="14.4" outlineLevel="1">
      <c r="B90" s="665" t="str">
        <f>'project budget'!B90</f>
        <v>[Additional Field - Specify]</v>
      </c>
      <c r="C90" s="157">
        <f>'project budget'!C90</f>
        <v>0</v>
      </c>
      <c r="D90" s="143" t="e">
        <f>C90*$D$2</f>
        <v>#DIV/0!</v>
      </c>
      <c r="E90" s="97" t="e">
        <f>C90*$E$2</f>
        <v>#DIV/0!</v>
      </c>
      <c r="F90" s="143" t="e">
        <f>D90/'rent summary'!$D$25</f>
        <v>#DIV/0!</v>
      </c>
      <c r="G90" s="140" t="e">
        <f>C90/rents!$R$105</f>
        <v>#DIV/0!</v>
      </c>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5"/>
      <c r="AM90" s="55"/>
      <c r="AN90" s="55"/>
      <c r="AO90" s="55"/>
      <c r="AP90" s="55"/>
      <c r="AQ90" s="55"/>
      <c r="AR90" s="55"/>
      <c r="AS90" s="97">
        <f t="shared" si="27"/>
        <v>0</v>
      </c>
      <c r="AT90" s="97">
        <f t="shared" si="28"/>
        <v>0</v>
      </c>
      <c r="AU90" s="655"/>
    </row>
    <row r="91" spans="1:48" ht="14.4">
      <c r="A91" s="666"/>
      <c r="B91" s="667" t="s">
        <v>449</v>
      </c>
      <c r="C91" s="158">
        <f>SUM(C85:C90)</f>
        <v>0</v>
      </c>
      <c r="D91" s="178" t="e">
        <f>SUM(D85:D90)</f>
        <v>#DIV/0!</v>
      </c>
      <c r="E91" s="178" t="e">
        <f>SUM(E85:E90)</f>
        <v>#DIV/0!</v>
      </c>
      <c r="F91" s="141"/>
      <c r="G91" s="322"/>
      <c r="H91" s="105"/>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655"/>
    </row>
    <row r="92" spans="1:48" ht="14.4" thickBot="1">
      <c r="A92" s="666"/>
      <c r="B92" s="669" t="s">
        <v>433</v>
      </c>
      <c r="C92" s="108">
        <f>C91+C83+C75+C66</f>
        <v>0</v>
      </c>
      <c r="D92" s="108" t="e">
        <f>D91+D83+D75+D66</f>
        <v>#DIV/0!</v>
      </c>
      <c r="E92" s="108" t="e">
        <f>E91+E83+E75+E66</f>
        <v>#DIV/0!</v>
      </c>
      <c r="F92" s="109" t="e">
        <f>D92/'rent summary'!$D$25</f>
        <v>#DIV/0!</v>
      </c>
      <c r="G92" s="323"/>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655"/>
    </row>
    <row r="93" spans="1:48" ht="14.4" thickTop="1">
      <c r="A93" s="666"/>
      <c r="B93" s="590" t="s">
        <v>450</v>
      </c>
      <c r="C93" s="110">
        <f>C92+C33+C13</f>
        <v>0</v>
      </c>
      <c r="D93" s="110" t="e">
        <f>D92+D33+D13</f>
        <v>#DIV/0!</v>
      </c>
      <c r="E93" s="110" t="e">
        <f>E92+E33+E13</f>
        <v>#DIV/0!</v>
      </c>
      <c r="F93" s="110" t="e">
        <f>D93/'rent summary'!$D$25</f>
        <v>#DIV/0!</v>
      </c>
      <c r="G93" s="324" t="e">
        <f>C93/rents!$R$105</f>
        <v>#DIV/0!</v>
      </c>
      <c r="H93" s="114">
        <f>SUM(H5:H90)</f>
        <v>0</v>
      </c>
      <c r="I93" s="114">
        <f>SUM(I5:I90)</f>
        <v>0</v>
      </c>
      <c r="J93" s="114">
        <f>SUM(J5:J90)</f>
        <v>0</v>
      </c>
      <c r="K93" s="114">
        <f>SUM(K5:K90)</f>
        <v>0</v>
      </c>
      <c r="L93" s="114">
        <f>SUM(L5:L90)</f>
        <v>0</v>
      </c>
      <c r="M93" s="114">
        <f t="shared" ref="M93:AM93" si="31">SUM(M5:M90)</f>
        <v>0</v>
      </c>
      <c r="N93" s="114">
        <f t="shared" si="31"/>
        <v>0</v>
      </c>
      <c r="O93" s="114">
        <f t="shared" si="31"/>
        <v>0</v>
      </c>
      <c r="P93" s="114">
        <f t="shared" si="31"/>
        <v>0</v>
      </c>
      <c r="Q93" s="114">
        <f t="shared" si="31"/>
        <v>0</v>
      </c>
      <c r="R93" s="114">
        <f t="shared" si="31"/>
        <v>0</v>
      </c>
      <c r="S93" s="114">
        <f t="shared" si="31"/>
        <v>0</v>
      </c>
      <c r="T93" s="114">
        <f t="shared" si="31"/>
        <v>0</v>
      </c>
      <c r="U93" s="114">
        <f t="shared" si="31"/>
        <v>0</v>
      </c>
      <c r="V93" s="114">
        <f t="shared" si="31"/>
        <v>0</v>
      </c>
      <c r="W93" s="114">
        <f t="shared" si="31"/>
        <v>0</v>
      </c>
      <c r="X93" s="114">
        <f t="shared" si="31"/>
        <v>0</v>
      </c>
      <c r="Y93" s="114">
        <f t="shared" si="31"/>
        <v>0</v>
      </c>
      <c r="Z93" s="114">
        <f t="shared" si="31"/>
        <v>0</v>
      </c>
      <c r="AA93" s="114">
        <f t="shared" si="31"/>
        <v>0</v>
      </c>
      <c r="AB93" s="114">
        <f t="shared" si="31"/>
        <v>0</v>
      </c>
      <c r="AC93" s="114">
        <f t="shared" si="31"/>
        <v>0</v>
      </c>
      <c r="AD93" s="114">
        <f t="shared" si="31"/>
        <v>0</v>
      </c>
      <c r="AE93" s="114">
        <f t="shared" si="31"/>
        <v>0</v>
      </c>
      <c r="AF93" s="114">
        <f t="shared" si="31"/>
        <v>0</v>
      </c>
      <c r="AG93" s="114">
        <f t="shared" si="31"/>
        <v>0</v>
      </c>
      <c r="AH93" s="114">
        <f t="shared" si="31"/>
        <v>0</v>
      </c>
      <c r="AI93" s="114">
        <f t="shared" si="31"/>
        <v>0</v>
      </c>
      <c r="AJ93" s="114">
        <f t="shared" si="31"/>
        <v>0</v>
      </c>
      <c r="AK93" s="114">
        <f t="shared" si="31"/>
        <v>0</v>
      </c>
      <c r="AL93" s="114">
        <f t="shared" si="31"/>
        <v>0</v>
      </c>
      <c r="AM93" s="114">
        <f t="shared" si="31"/>
        <v>0</v>
      </c>
      <c r="AN93" s="114">
        <f t="shared" ref="AN93:AQ93" si="32">SUM(AN5:AN90)</f>
        <v>0</v>
      </c>
      <c r="AO93" s="114">
        <f t="shared" si="32"/>
        <v>0</v>
      </c>
      <c r="AP93" s="114">
        <f t="shared" si="32"/>
        <v>0</v>
      </c>
      <c r="AQ93" s="114">
        <f t="shared" si="32"/>
        <v>0</v>
      </c>
      <c r="AR93" s="114">
        <f>SUM(AR5:AR90)</f>
        <v>0</v>
      </c>
      <c r="AS93" s="114">
        <f>SUM(AS5:AS90)</f>
        <v>0</v>
      </c>
      <c r="AT93" s="105">
        <f>AS93-C93</f>
        <v>0</v>
      </c>
      <c r="AU93" s="655"/>
    </row>
    <row r="94" spans="1:48">
      <c r="H94" s="105">
        <f>H4-H93</f>
        <v>0</v>
      </c>
      <c r="I94" s="105">
        <f>I4-I93</f>
        <v>0</v>
      </c>
      <c r="J94" s="105">
        <f>J4-J93</f>
        <v>0</v>
      </c>
      <c r="K94" s="105">
        <f>K4-K93</f>
        <v>0</v>
      </c>
      <c r="L94" s="105">
        <f>L4-L93</f>
        <v>0</v>
      </c>
      <c r="M94" s="97">
        <f t="shared" ref="M94:AM94" si="33">M4-M93</f>
        <v>0</v>
      </c>
      <c r="N94" s="97">
        <f t="shared" si="33"/>
        <v>0</v>
      </c>
      <c r="O94" s="97">
        <f t="shared" si="33"/>
        <v>0</v>
      </c>
      <c r="P94" s="97">
        <f t="shared" si="33"/>
        <v>0</v>
      </c>
      <c r="Q94" s="97">
        <f t="shared" si="33"/>
        <v>0</v>
      </c>
      <c r="R94" s="97">
        <f t="shared" si="33"/>
        <v>0</v>
      </c>
      <c r="S94" s="97">
        <f t="shared" si="33"/>
        <v>0</v>
      </c>
      <c r="T94" s="97">
        <f t="shared" si="33"/>
        <v>0</v>
      </c>
      <c r="U94" s="97">
        <f t="shared" si="33"/>
        <v>0</v>
      </c>
      <c r="V94" s="97">
        <f t="shared" si="33"/>
        <v>0</v>
      </c>
      <c r="W94" s="97">
        <f t="shared" si="33"/>
        <v>0</v>
      </c>
      <c r="X94" s="97">
        <f t="shared" si="33"/>
        <v>0</v>
      </c>
      <c r="Y94" s="97">
        <f t="shared" si="33"/>
        <v>0</v>
      </c>
      <c r="Z94" s="97">
        <f t="shared" si="33"/>
        <v>0</v>
      </c>
      <c r="AA94" s="97">
        <f t="shared" si="33"/>
        <v>0</v>
      </c>
      <c r="AB94" s="97">
        <f t="shared" si="33"/>
        <v>0</v>
      </c>
      <c r="AC94" s="97">
        <f t="shared" si="33"/>
        <v>0</v>
      </c>
      <c r="AD94" s="97">
        <f t="shared" si="33"/>
        <v>0</v>
      </c>
      <c r="AE94" s="97">
        <f t="shared" si="33"/>
        <v>0</v>
      </c>
      <c r="AF94" s="97">
        <f t="shared" si="33"/>
        <v>0</v>
      </c>
      <c r="AG94" s="97">
        <f t="shared" si="33"/>
        <v>0</v>
      </c>
      <c r="AH94" s="97">
        <f t="shared" si="33"/>
        <v>0</v>
      </c>
      <c r="AI94" s="97">
        <f t="shared" si="33"/>
        <v>0</v>
      </c>
      <c r="AJ94" s="97">
        <f t="shared" si="33"/>
        <v>0</v>
      </c>
      <c r="AK94" s="97">
        <f t="shared" si="33"/>
        <v>0</v>
      </c>
      <c r="AL94" s="97">
        <f t="shared" si="33"/>
        <v>0</v>
      </c>
      <c r="AM94" s="97">
        <f t="shared" si="33"/>
        <v>0</v>
      </c>
      <c r="AN94" s="97">
        <f t="shared" ref="AN94:AQ94" si="34">AN4-AN93</f>
        <v>0</v>
      </c>
      <c r="AO94" s="97">
        <f t="shared" si="34"/>
        <v>0</v>
      </c>
      <c r="AP94" s="97">
        <f t="shared" si="34"/>
        <v>0</v>
      </c>
      <c r="AQ94" s="97">
        <f t="shared" si="34"/>
        <v>0</v>
      </c>
      <c r="AR94" s="97">
        <f>AR4-AR93</f>
        <v>0</v>
      </c>
      <c r="AS94" s="97"/>
      <c r="AT94" s="97"/>
      <c r="AU94" s="655"/>
    </row>
    <row r="95" spans="1:48">
      <c r="AU95" s="655"/>
      <c r="AV95" s="655"/>
    </row>
    <row r="96" spans="1:48">
      <c r="B96" s="590" t="s">
        <v>458</v>
      </c>
      <c r="C96" s="38">
        <f>C93-C91-C83-C70</f>
        <v>0</v>
      </c>
    </row>
    <row r="97" spans="2:7">
      <c r="B97" s="590" t="s">
        <v>459</v>
      </c>
      <c r="C97" s="38">
        <f>C83+C70</f>
        <v>0</v>
      </c>
    </row>
    <row r="99" spans="2:7">
      <c r="B99" s="670" t="s">
        <v>460</v>
      </c>
      <c r="C99" s="670" t="s">
        <v>461</v>
      </c>
      <c r="D99" s="670"/>
    </row>
    <row r="100" spans="2:7">
      <c r="B100" s="671" t="s">
        <v>446</v>
      </c>
      <c r="C100" s="672" t="e">
        <f>C85/expenses!C79</f>
        <v>#DIV/0!</v>
      </c>
      <c r="D100" s="671" t="s">
        <v>462</v>
      </c>
    </row>
    <row r="101" spans="2:7">
      <c r="B101" s="584" t="s">
        <v>463</v>
      </c>
      <c r="C101" s="673" t="e">
        <f>C86/expenses!C79</f>
        <v>#DIV/0!</v>
      </c>
      <c r="D101" s="584" t="s">
        <v>462</v>
      </c>
    </row>
    <row r="102" spans="2:7">
      <c r="B102" s="584" t="s">
        <v>464</v>
      </c>
      <c r="C102" s="673" t="e">
        <f>C87/expenses!C79</f>
        <v>#DIV/0!</v>
      </c>
      <c r="D102" s="584" t="s">
        <v>462</v>
      </c>
    </row>
    <row r="103" spans="2:7">
      <c r="B103" s="674" t="s">
        <v>465</v>
      </c>
      <c r="C103" s="675" t="e">
        <f>C88/assumptions!B4</f>
        <v>#DIV/0!</v>
      </c>
      <c r="D103" s="676" t="e">
        <f>expenses!D77</f>
        <v>#DIV/0!</v>
      </c>
    </row>
    <row r="108" spans="2:7">
      <c r="B108" s="655"/>
      <c r="C108" s="655"/>
      <c r="D108" s="655"/>
      <c r="E108" s="655"/>
      <c r="F108" s="655"/>
      <c r="G108" s="656"/>
    </row>
    <row r="176" spans="2:5">
      <c r="B176" s="590"/>
      <c r="C176" s="590"/>
      <c r="D176" s="590"/>
      <c r="E176" s="590"/>
    </row>
    <row r="178" spans="2:44">
      <c r="B178" s="590"/>
      <c r="C178" s="590"/>
      <c r="D178" s="590"/>
      <c r="E178" s="590"/>
      <c r="G178" s="677"/>
      <c r="H178" s="590"/>
      <c r="I178" s="590"/>
      <c r="J178" s="590"/>
      <c r="K178" s="590"/>
      <c r="L178" s="590"/>
      <c r="M178" s="590"/>
      <c r="N178" s="590"/>
      <c r="O178" s="590"/>
      <c r="P178" s="590"/>
      <c r="Q178" s="590"/>
      <c r="R178" s="590"/>
      <c r="S178" s="590"/>
      <c r="T178" s="590"/>
      <c r="U178" s="590"/>
      <c r="V178" s="590"/>
      <c r="W178" s="590"/>
    </row>
    <row r="179" spans="2:44">
      <c r="C179" s="590"/>
      <c r="D179" s="590"/>
      <c r="E179" s="590"/>
      <c r="G179" s="677"/>
      <c r="H179" s="590"/>
      <c r="I179" s="590"/>
      <c r="J179" s="590"/>
      <c r="K179" s="590"/>
      <c r="L179" s="590"/>
      <c r="M179" s="590"/>
      <c r="N179" s="590"/>
      <c r="O179" s="590"/>
      <c r="P179" s="590"/>
      <c r="Q179" s="590"/>
      <c r="R179" s="590"/>
      <c r="S179" s="590"/>
      <c r="T179" s="590"/>
      <c r="U179" s="590"/>
      <c r="V179" s="590"/>
      <c r="W179" s="590"/>
    </row>
    <row r="180" spans="2:44">
      <c r="C180" s="590"/>
      <c r="D180" s="590"/>
      <c r="E180" s="590"/>
      <c r="G180" s="677"/>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0"/>
      <c r="AL180" s="590"/>
      <c r="AM180" s="590"/>
      <c r="AN180" s="590"/>
      <c r="AO180" s="590"/>
      <c r="AP180" s="590"/>
      <c r="AQ180" s="590"/>
      <c r="AR180" s="590"/>
    </row>
    <row r="181" spans="2:44">
      <c r="C181" s="590"/>
      <c r="D181" s="590"/>
      <c r="E181" s="590"/>
      <c r="G181" s="677"/>
      <c r="H181" s="590"/>
      <c r="I181" s="590"/>
      <c r="J181" s="590"/>
      <c r="K181" s="590"/>
      <c r="L181" s="590"/>
      <c r="M181" s="590"/>
      <c r="N181" s="590"/>
      <c r="O181" s="590"/>
      <c r="P181" s="590"/>
      <c r="Q181" s="590"/>
      <c r="R181" s="590"/>
      <c r="S181" s="590"/>
      <c r="T181" s="590"/>
      <c r="U181" s="590"/>
      <c r="V181" s="590"/>
      <c r="X181" s="590"/>
      <c r="Y181" s="590"/>
      <c r="Z181" s="590"/>
      <c r="AA181" s="590"/>
      <c r="AB181" s="590"/>
      <c r="AC181" s="590"/>
      <c r="AD181" s="590"/>
      <c r="AE181" s="590"/>
      <c r="AF181" s="590"/>
      <c r="AG181" s="590"/>
      <c r="AH181" s="590"/>
      <c r="AI181" s="590"/>
      <c r="AJ181" s="590"/>
      <c r="AK181" s="590"/>
      <c r="AL181" s="590"/>
      <c r="AM181" s="590"/>
      <c r="AN181" s="590"/>
      <c r="AO181" s="590"/>
      <c r="AP181" s="590"/>
      <c r="AQ181" s="590"/>
      <c r="AR181" s="590"/>
    </row>
    <row r="182" spans="2:44">
      <c r="C182" s="590"/>
      <c r="D182" s="590"/>
      <c r="E182" s="590"/>
      <c r="G182" s="677"/>
      <c r="H182" s="590"/>
      <c r="I182" s="590"/>
      <c r="J182" s="590"/>
      <c r="K182" s="590"/>
      <c r="L182" s="590"/>
      <c r="M182" s="590"/>
      <c r="N182" s="590"/>
      <c r="O182" s="590"/>
      <c r="P182" s="590"/>
      <c r="Q182" s="590"/>
      <c r="R182" s="590"/>
      <c r="S182" s="590"/>
      <c r="T182" s="590"/>
      <c r="U182" s="590"/>
      <c r="V182" s="590"/>
      <c r="X182" s="590"/>
      <c r="Y182" s="590"/>
      <c r="Z182" s="590"/>
      <c r="AA182" s="590"/>
      <c r="AB182" s="590"/>
      <c r="AC182" s="590"/>
      <c r="AD182" s="590"/>
      <c r="AE182" s="590"/>
      <c r="AF182" s="590"/>
      <c r="AG182" s="590"/>
      <c r="AH182" s="590"/>
      <c r="AI182" s="590"/>
      <c r="AJ182" s="590"/>
      <c r="AK182" s="590"/>
      <c r="AL182" s="590"/>
      <c r="AM182" s="590"/>
      <c r="AN182" s="590"/>
      <c r="AO182" s="590"/>
      <c r="AP182" s="590"/>
      <c r="AQ182" s="590"/>
      <c r="AR182" s="590"/>
    </row>
    <row r="183" spans="2:44">
      <c r="C183" s="590"/>
      <c r="D183" s="590"/>
      <c r="E183" s="590"/>
      <c r="G183" s="677"/>
      <c r="H183" s="590"/>
      <c r="I183" s="590"/>
      <c r="J183" s="590"/>
      <c r="K183" s="590"/>
      <c r="L183" s="590"/>
      <c r="M183" s="590"/>
      <c r="N183" s="590"/>
      <c r="O183" s="590"/>
      <c r="P183" s="590"/>
      <c r="Q183" s="590"/>
      <c r="R183" s="590"/>
      <c r="S183" s="590"/>
      <c r="T183" s="590"/>
      <c r="U183" s="590"/>
      <c r="V183" s="590"/>
      <c r="X183" s="590"/>
      <c r="Y183" s="590"/>
      <c r="Z183" s="590"/>
      <c r="AA183" s="590"/>
      <c r="AB183" s="590"/>
      <c r="AC183" s="590"/>
      <c r="AD183" s="590"/>
      <c r="AE183" s="590"/>
      <c r="AF183" s="590"/>
      <c r="AG183" s="590"/>
      <c r="AH183" s="590"/>
      <c r="AI183" s="590"/>
      <c r="AJ183" s="590"/>
      <c r="AK183" s="590"/>
      <c r="AL183" s="590"/>
      <c r="AM183" s="590"/>
      <c r="AN183" s="590"/>
      <c r="AO183" s="590"/>
      <c r="AP183" s="590"/>
      <c r="AQ183" s="590"/>
      <c r="AR183" s="590"/>
    </row>
    <row r="184" spans="2:44">
      <c r="C184" s="590"/>
      <c r="D184" s="590"/>
      <c r="E184" s="590"/>
      <c r="G184" s="677"/>
      <c r="H184" s="590"/>
      <c r="I184" s="590"/>
      <c r="J184" s="590"/>
      <c r="K184" s="590"/>
      <c r="L184" s="590"/>
      <c r="M184" s="590"/>
      <c r="N184" s="590"/>
      <c r="O184" s="590"/>
      <c r="P184" s="590"/>
      <c r="Q184" s="590"/>
      <c r="R184" s="590"/>
      <c r="S184" s="590"/>
      <c r="T184" s="590"/>
      <c r="U184" s="590"/>
      <c r="V184" s="590"/>
      <c r="X184" s="590"/>
      <c r="Y184" s="590"/>
      <c r="Z184" s="590"/>
      <c r="AA184" s="590"/>
      <c r="AB184" s="590"/>
      <c r="AC184" s="590"/>
      <c r="AD184" s="590"/>
      <c r="AE184" s="590"/>
      <c r="AF184" s="590"/>
      <c r="AG184" s="590"/>
      <c r="AH184" s="590"/>
      <c r="AI184" s="590"/>
      <c r="AJ184" s="590"/>
      <c r="AK184" s="590"/>
      <c r="AL184" s="590"/>
      <c r="AM184" s="590"/>
      <c r="AN184" s="590"/>
      <c r="AO184" s="590"/>
      <c r="AP184" s="590"/>
      <c r="AQ184" s="590"/>
      <c r="AR184" s="590"/>
    </row>
    <row r="185" spans="2:44">
      <c r="C185" s="590"/>
      <c r="D185" s="590"/>
      <c r="E185" s="590"/>
      <c r="G185" s="677"/>
      <c r="H185" s="590"/>
      <c r="I185" s="590"/>
      <c r="J185" s="590"/>
      <c r="K185" s="590"/>
      <c r="L185" s="590"/>
      <c r="M185" s="590"/>
      <c r="N185" s="590"/>
      <c r="O185" s="590"/>
      <c r="P185" s="590"/>
      <c r="Q185" s="590"/>
      <c r="R185" s="590"/>
      <c r="S185" s="590"/>
      <c r="T185" s="590"/>
      <c r="U185" s="590"/>
      <c r="V185" s="590"/>
      <c r="X185" s="590"/>
      <c r="Y185" s="590"/>
      <c r="Z185" s="590"/>
      <c r="AA185" s="590"/>
      <c r="AB185" s="590"/>
      <c r="AC185" s="590"/>
      <c r="AD185" s="590"/>
      <c r="AE185" s="590"/>
      <c r="AF185" s="590"/>
      <c r="AG185" s="590"/>
      <c r="AH185" s="590"/>
      <c r="AI185" s="590"/>
      <c r="AJ185" s="590"/>
      <c r="AK185" s="590"/>
      <c r="AL185" s="590"/>
      <c r="AM185" s="590"/>
      <c r="AN185" s="590"/>
      <c r="AO185" s="590"/>
      <c r="AP185" s="590"/>
      <c r="AQ185" s="590"/>
      <c r="AR185" s="590"/>
    </row>
  </sheetData>
  <sheetProtection algorithmName="SHA-512" hashValue="7ufr+ooEDTXpcb1WseuQO/krIev5lUZaWUqSq5p6PyJ2Cay4IDC1bfHWgveGEAh04FhzP6RP6BkEsb6xcrJ5OQ==" saltValue="6PK5Yssy67jTWR6C/e6vjQ==" spinCount="100000" sheet="1" formatCells="0" formatColumns="0" formatRows="0"/>
  <dataConsolidate/>
  <customSheetViews>
    <customSheetView guid="{CA59FD88-8CCB-11D1-BF5F-0000C0DA655A}" scale="65" showRuler="0">
      <pageMargins left="0" right="0" top="0" bottom="0" header="0" footer="0"/>
      <printOptions gridLines="1"/>
      <pageSetup orientation="portrait" horizontalDpi="300" verticalDpi="300" r:id="rId1"/>
      <headerFooter alignWithMargins="0"/>
    </customSheetView>
  </customSheetViews>
  <phoneticPr fontId="0" type="noConversion"/>
  <pageMargins left="0.75" right="0.75" top="1" bottom="1" header="0.5" footer="0.5"/>
  <pageSetup scale="40" orientation="landscape" r:id="rId2"/>
  <headerFooter alignWithMargins="0">
    <oddFooter>&amp;L&amp;F
&amp;D&amp;T&amp;R&amp;"Times New Roman,Regular"&amp;8revision date:  8/6/2007</oddFooter>
  </headerFooter>
  <ignoredErrors>
    <ignoredError sqref="D5:G11 D15:G15 D19 F19:G19 D20:G32 F66:G66 E68:G74 D77:G82 D34 G13 D36:G36 D18:G18 E17 G17 E12:G12 D16 F16:G16 C100:C101" evalError="1"/>
    <ignoredError sqref="T3" unlockedFormula="1"/>
    <ignoredError sqref="D68:D74" evalError="1" unlockedFormula="1"/>
  </ignoredError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56a5192-e2d8-4750-98d7-f737a2847314">
      <Terms xmlns="http://schemas.microsoft.com/office/infopath/2007/PartnerControls"/>
    </lcf76f155ced4ddcb4097134ff3c332f>
    <TaxCatchAll xmlns="a345b93b-9139-4c59-8763-0eef7dcdc3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61D48516EB14FA596BE19A6600B46" ma:contentTypeVersion="13" ma:contentTypeDescription="Create a new document." ma:contentTypeScope="" ma:versionID="6472af6558c38a1112d7862b515ba1f3">
  <xsd:schema xmlns:xsd="http://www.w3.org/2001/XMLSchema" xmlns:xs="http://www.w3.org/2001/XMLSchema" xmlns:p="http://schemas.microsoft.com/office/2006/metadata/properties" xmlns:ns2="656a5192-e2d8-4750-98d7-f737a2847314" xmlns:ns3="5479e678-ada6-420d-a990-985bb7032d1a" xmlns:ns4="a345b93b-9139-4c59-8763-0eef7dcdc3e1" targetNamespace="http://schemas.microsoft.com/office/2006/metadata/properties" ma:root="true" ma:fieldsID="4192b2a1bbf0bb8fed987a17368d7062" ns2:_="" ns3:_="" ns4:_="">
    <xsd:import namespace="656a5192-e2d8-4750-98d7-f737a2847314"/>
    <xsd:import namespace="5479e678-ada6-420d-a990-985bb7032d1a"/>
    <xsd:import namespace="a345b93b-9139-4c59-8763-0eef7dcdc3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GenerationTime" minOccurs="0"/>
                <xsd:element ref="ns2:MediaServiceEventHashCode"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6a5192-e2d8-4750-98d7-f737a2847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745ce22-7f69-4d97-ac05-c5d261329020"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79e678-ada6-420d-a990-985bb7032d1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45b93b-9139-4c59-8763-0eef7dcdc3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844c3e5-378c-46ec-90ce-5b4e04645e3a}" ma:internalName="TaxCatchAll" ma:showField="CatchAllData" ma:web="5479e678-ada6-420d-a990-985bb7032d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1C3C4A-9886-4C0C-9C87-5CB4CAC61B1A}">
  <ds:schemaRefs>
    <ds:schemaRef ds:uri="http://schemas.microsoft.com/sharepoint/v3/contenttype/forms"/>
  </ds:schemaRefs>
</ds:datastoreItem>
</file>

<file path=customXml/itemProps2.xml><?xml version="1.0" encoding="utf-8"?>
<ds:datastoreItem xmlns:ds="http://schemas.openxmlformats.org/officeDocument/2006/customXml" ds:itemID="{3EAD176D-2984-463B-ACB7-7F74C45CBD38}">
  <ds:schemaRefs>
    <ds:schemaRef ds:uri="5479e678-ada6-420d-a990-985bb7032d1a"/>
    <ds:schemaRef ds:uri="http://schemas.microsoft.com/office/2006/metadata/properties"/>
    <ds:schemaRef ds:uri="http://purl.org/dc/elements/1.1/"/>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a345b93b-9139-4c59-8763-0eef7dcdc3e1"/>
    <ds:schemaRef ds:uri="656a5192-e2d8-4750-98d7-f737a2847314"/>
    <ds:schemaRef ds:uri="http://purl.org/dc/dcmitype/"/>
  </ds:schemaRefs>
</ds:datastoreItem>
</file>

<file path=customXml/itemProps3.xml><?xml version="1.0" encoding="utf-8"?>
<ds:datastoreItem xmlns:ds="http://schemas.openxmlformats.org/officeDocument/2006/customXml" ds:itemID="{C6222F06-C0D7-494C-82FD-FDDB7E13B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6a5192-e2d8-4750-98d7-f737a2847314"/>
    <ds:schemaRef ds:uri="5479e678-ada6-420d-a990-985bb7032d1a"/>
    <ds:schemaRef ds:uri="a345b93b-9139-4c59-8763-0eef7dcdc3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BP-data import</vt:lpstr>
      <vt:lpstr>BP- deal core data</vt:lpstr>
      <vt:lpstr>BP - development budget v2</vt:lpstr>
      <vt:lpstr>BP-Rental Income v2</vt:lpstr>
      <vt:lpstr>BP- Income Opex v2</vt:lpstr>
      <vt:lpstr>protocols</vt:lpstr>
      <vt:lpstr>assumptions</vt:lpstr>
      <vt:lpstr>project budget</vt:lpstr>
      <vt:lpstr>sources-uses</vt:lpstr>
      <vt:lpstr>credit calcs</vt:lpstr>
      <vt:lpstr>rent summary</vt:lpstr>
      <vt:lpstr>rents</vt:lpstr>
      <vt:lpstr>expenses</vt:lpstr>
      <vt:lpstr>cashflows</vt:lpstr>
      <vt:lpstr>amortizations</vt:lpstr>
      <vt:lpstr>flow of funds</vt:lpstr>
      <vt:lpstr>Housing w Services</vt:lpstr>
      <vt:lpstr>VHFA Use</vt:lpstr>
      <vt:lpstr>amortizations!Print_Area</vt:lpstr>
      <vt:lpstr>'BP- deal core data'!Print_Area</vt:lpstr>
      <vt:lpstr>cashflows!Print_Area</vt:lpstr>
      <vt:lpstr>'credit calcs'!Print_Area</vt:lpstr>
      <vt:lpstr>expenses!Print_Area</vt:lpstr>
      <vt:lpstr>'flow of funds'!Print_Area</vt:lpstr>
      <vt:lpstr>'Housing w Services'!Print_Area</vt:lpstr>
      <vt:lpstr>'project budget'!Print_Area</vt:lpstr>
      <vt:lpstr>'rent summary'!Print_Area</vt:lpstr>
      <vt:lpstr>rents!Print_Area</vt:lpstr>
      <vt:lpstr>'sources-uses'!Print_Area</vt:lpstr>
      <vt:lpstr>'VHFA Use'!Print_Area</vt:lpstr>
      <vt:lpstr>amortizations!Print_Titles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Erdelyi</dc:creator>
  <cp:keywords/>
  <dc:description/>
  <cp:lastModifiedBy>Megan Roush</cp:lastModifiedBy>
  <cp:revision/>
  <dcterms:created xsi:type="dcterms:W3CDTF">2007-07-31T14:15:18Z</dcterms:created>
  <dcterms:modified xsi:type="dcterms:W3CDTF">2026-02-16T13:18:32Z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0x01010052C61D48516EB14FA596BE19A6600B46</vt:lpwstr>
  </property>
  <property fmtid="{D5CDD505-2E9C-101B-9397-08002B2CF9AE}" pid="3" name="MediaServiceImageTags">
    <vt:lpwstr/>
  </property>
</Properties>
</file>